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5" windowWidth="20730" windowHeight="11760" activeTab="0"/>
  </bookViews>
  <sheets>
    <sheet name="Przedmiar robót" sheetId="1" r:id="rId1"/>
  </sheets>
  <definedNames>
    <definedName name="_xlnm.Print_Area" localSheetId="0">'Przedmiar robót'!#REF!</definedName>
  </definedNames>
  <calcPr fullCalcOnLoad="1" fullPrecision="0"/>
</workbook>
</file>

<file path=xl/sharedStrings.xml><?xml version="1.0" encoding="utf-8"?>
<sst xmlns="http://schemas.openxmlformats.org/spreadsheetml/2006/main" count="553" uniqueCount="231">
  <si>
    <t>L.p.</t>
  </si>
  <si>
    <t>m</t>
  </si>
  <si>
    <t>szt.</t>
  </si>
  <si>
    <t>1. Roboty rozbiórkowe, kod CPV 45111100-9</t>
  </si>
  <si>
    <t>km</t>
  </si>
  <si>
    <t>informacja własna</t>
  </si>
  <si>
    <t>KNNR 4 1413            0300 i 0400</t>
  </si>
  <si>
    <t>Tarcze znaków drogowych typu A</t>
  </si>
  <si>
    <t>Tarcze znaków drogowych typu D</t>
  </si>
  <si>
    <t>Słupki znaków drogowych</t>
  </si>
  <si>
    <t>Rozbiórka krawężnika 15x30 cm</t>
  </si>
  <si>
    <t>Rozbiórka obrzeży chodnikowych 8x30 cm</t>
  </si>
  <si>
    <t>Rozbiórka zjazdów betonowych o grubości 15 cm</t>
  </si>
  <si>
    <t>Pomiary geodezyjne</t>
  </si>
  <si>
    <t>Podbudowa z kruszywa łamanego stabilizowanego mechanicznie 0/63 - 25 cm (jezdnia)</t>
  </si>
  <si>
    <t>Krawężnik betonowy bez ścięcia 15x25 cm, wtopiony, na ławie z betonu C12/15</t>
  </si>
  <si>
    <t>Zawory sieci wodociągowej do regulacji</t>
  </si>
  <si>
    <t>Studnie sieci teletechnicznej do regulacji</t>
  </si>
  <si>
    <t>Zawory sieci gazociągowej do regulacji</t>
  </si>
  <si>
    <t>Studnie rewizyjne kanalizacji sanitarnej do regulacji</t>
  </si>
  <si>
    <t>Nasypy z piasku średniego</t>
  </si>
  <si>
    <t>KNNR 6      0104-0400</t>
  </si>
  <si>
    <t>Warstwa pospółki pod przepusty o grubości 20 cm</t>
  </si>
  <si>
    <t>Studnie rewizyjne betonowe o średnicy 1200 mm</t>
  </si>
  <si>
    <t>Studnie rewizyjne z PVC o średnicy 425 mm</t>
  </si>
  <si>
    <t>Wywóz gruntu z wykopów na odległośćdo 5 km</t>
  </si>
  <si>
    <t>Warstwa kruszywa naturalnego - 15 cm (jezdnia)</t>
  </si>
  <si>
    <t>Żołte płytki z wypustkami 40x40x6 cm</t>
  </si>
  <si>
    <t>Obrzeże chodnikowe betonowe 8x30 cm na podsypce cementowo-piaskowej 1:4 - 5 cm</t>
  </si>
  <si>
    <t>Krawężnik betonowy wystający 15x30 cm na ławie z betonu C12/15</t>
  </si>
  <si>
    <t>Krawężnik betonowy obniżony 15x22 cm na ławie z betonu C12/15</t>
  </si>
  <si>
    <t>Obsianie zieleńców trawą</t>
  </si>
  <si>
    <t>Plantowanie powierzchni zieleńców</t>
  </si>
  <si>
    <t>KNNR 4      1308-0200</t>
  </si>
  <si>
    <t>KNNR 1         0209-0500</t>
  </si>
  <si>
    <t>KNNR 1       0313-0100        0313-0500</t>
  </si>
  <si>
    <t xml:space="preserve">Deskowanie pełne wraz z rozbiórką do głębokości do 3.0 m </t>
  </si>
  <si>
    <t>KNNR 4     1411-0200</t>
  </si>
  <si>
    <t>KNNR 1     0205-0400    0208-0200</t>
  </si>
  <si>
    <t>Wykopy pod studnie i przyłącza wykonywane na odkład</t>
  </si>
  <si>
    <t>Warstwa pospółki pod studzienki i przyłącza o grubości 15 cm</t>
  </si>
  <si>
    <t>Umocnienie rowów płytami wielootworowymi typu EKO 60x40x8 cm na podsypce piaskowej - 5 cm z wypełnieniem otworów humusem i obsianiem trawą</t>
  </si>
  <si>
    <t>Zdjęcie i wywóz 10 cm warstwy gruntu antropogenicznego na odległość do 5 km</t>
  </si>
  <si>
    <t>Oznakowanie poziome malowane odblaskowe - linie segregacyjne</t>
  </si>
  <si>
    <t>Oznakowanie poziome malowane odblaskowe - przejście dla pieszych i linia warunkowego zatrzymania</t>
  </si>
  <si>
    <t>KNNR 11         0702-0102         interpolacja</t>
  </si>
  <si>
    <t>Wywóz gruzu na odległość do  5 km, przyjęto współczynnik spulchnienia 1,25</t>
  </si>
  <si>
    <t>Rozbiórka zjazdów z kostki betonowej na podsypce cementowo-piaskowej</t>
  </si>
  <si>
    <t>Rozbiórka chodnika z płyt betonowych 35x35x5 cm na podsypce piaskowej</t>
  </si>
  <si>
    <t>Zdjęcie wierzchniej warstwy gruntu z jezdni gruntowej o średniej grubości 10 cm</t>
  </si>
  <si>
    <t>Wywóz gruntu z koryt i wierzchniej warstwy gruntu z jezdni gruntowej na odległość do 5 km</t>
  </si>
  <si>
    <t>Przepust żelbetowy prefabrykowany o średnicy 400 mm</t>
  </si>
  <si>
    <t>Kanały z PVC o średnicy 160 mm</t>
  </si>
  <si>
    <t>Podbudowa z kruszywa łamanego stabilizowanego mechanicznie 0/31.5 - 15 cm (zjazdy i chodnik wzmocniony)</t>
  </si>
  <si>
    <t>Warstwa kruszywa naturalnego - 10 cm (zjazdy, chodnik, chodnik wzmocniony i zółte płytki z wypustkami)</t>
  </si>
  <si>
    <t>Podbudowa z kruszywa łamanego stabilizowanego mechanicznie 0/31,5 - 10 cm (chodnik i zółte płytki z wypustkami)</t>
  </si>
  <si>
    <t>Pobocze z kruszywa łamanego stabilizowanego mechanicznie 0/31,5 - 15 cm</t>
  </si>
  <si>
    <t>Warstwa pospółki pod prefabrykaty KKŻ o grubości 15 cm</t>
  </si>
  <si>
    <t>Zasypka studni i kanałów z piasku średniego</t>
  </si>
  <si>
    <t>Warstwa podłoża z tłucznia kamiennego</t>
  </si>
  <si>
    <t>Rozbiórka przepustów</t>
  </si>
  <si>
    <t>Roboty drogowe i pokrewne, kanalizacja sanitarna</t>
  </si>
  <si>
    <t xml:space="preserve">BCD 451 03.03.50.05  interpolacja </t>
  </si>
  <si>
    <t>Studnie rewizyjne betonowe do rozebrania o średnicy 600 mm</t>
  </si>
  <si>
    <t>Hydranty do regulacji</t>
  </si>
  <si>
    <t>BCD D-01.02 04.41.01</t>
  </si>
  <si>
    <t>BCD D-01.02 04.44.02</t>
  </si>
  <si>
    <t>BCD D-01.02 04.28.01</t>
  </si>
  <si>
    <t>BCD D-01.02 04.23.01</t>
  </si>
  <si>
    <t>BCD D-01.02 04.29.01</t>
  </si>
  <si>
    <t>BCD D-01.02 04.71.01</t>
  </si>
  <si>
    <t>BCD D-01.02 09.11.01  + 09.11.02</t>
  </si>
  <si>
    <t>BCD D-01.01 01.11.01</t>
  </si>
  <si>
    <t>BCD D-01.02 02.12.01 interpolacja</t>
  </si>
  <si>
    <t>BCD D-01.02 02.13.02  + 09.11.02</t>
  </si>
  <si>
    <t>BCD D-04.01 01.13.01</t>
  </si>
  <si>
    <t>BCD D-04.01 01.22.01</t>
  </si>
  <si>
    <t>BCD D-04.02 01.13.01 interpolacja</t>
  </si>
  <si>
    <t>BCD D-04.04 02.24.01 interpolacja</t>
  </si>
  <si>
    <t>BCD D-05.03 23.15.03</t>
  </si>
  <si>
    <t>BCD D-04.04 02.25.01</t>
  </si>
  <si>
    <t>BCD D-04.04 01.23.01</t>
  </si>
  <si>
    <t>BCD D-04.04 02.23.01</t>
  </si>
  <si>
    <t>BCD D-04.08 04.12.01 interpolacja</t>
  </si>
  <si>
    <t>BCD D-04.04 01.22.01</t>
  </si>
  <si>
    <t>BCD D-08.02 01.12.01 interpolacja</t>
  </si>
  <si>
    <t>BCD D-05.03 23.15.04</t>
  </si>
  <si>
    <t>BCD D-04.04 02.22.01</t>
  </si>
  <si>
    <t>BCD D-08.03 01.12.04</t>
  </si>
  <si>
    <t>BCD D-08.01 01.11.03</t>
  </si>
  <si>
    <t>BCD D-08.01 01.14.02</t>
  </si>
  <si>
    <t>BCD D-08.01 01.13.01 interpolacja</t>
  </si>
  <si>
    <t>BCD D-03.06 01.31.01</t>
  </si>
  <si>
    <t>BCD D-03.06 01.41.01</t>
  </si>
  <si>
    <t>BCD D-03.06 01.21.01</t>
  </si>
  <si>
    <t>BCD D-06.01 01.66.02</t>
  </si>
  <si>
    <t>BCD D-06.01 01.15.03</t>
  </si>
  <si>
    <t>BCD D-09.01 01.11.01</t>
  </si>
  <si>
    <t>BCD D-07.01 01.11.01</t>
  </si>
  <si>
    <t>BCD D-07.01 01.13.01</t>
  </si>
  <si>
    <t>BCD D-07.02 01.44.05</t>
  </si>
  <si>
    <t>BCD D-07.02 01.41.01</t>
  </si>
  <si>
    <t>BCD D-07.02 01.44.23</t>
  </si>
  <si>
    <t>Studnia rewizyjna o śred. 1200 mm z osadnikem 0,5 m, włazem żelliwnym D-400, głębokość posadowienia 2,0 m</t>
  </si>
  <si>
    <t>Wpust uliczny z kratką żeliwną D-400, studnia betonowa z odanikiem 0,5 m</t>
  </si>
  <si>
    <t>mb</t>
  </si>
  <si>
    <t>Rury drenarskie z PVC SN 8 o średnicy 200 mm</t>
  </si>
  <si>
    <t>Rury pełne z PCV SN8 o śred. 200 mm w rowach</t>
  </si>
  <si>
    <t>Rury pełne z PCV SN8 o śred. 300 mm pod zjazdami</t>
  </si>
  <si>
    <t>Rury pełne z PCV SN12 o śred. 200 mm w jezdni</t>
  </si>
  <si>
    <t>Rury pełne z PCV SN12 o śred. 300 mm w jezdni</t>
  </si>
  <si>
    <t>Odwodnie liniowe szer. 300 mm z korytkiem i rusztem żeliwnym na ławie betonowej</t>
  </si>
  <si>
    <t>Studzienka osadnikowa o głęb. 0,5m dla odwodnia liniowego</t>
  </si>
  <si>
    <t>Rowy z prefabrykowanych korytek żelbetowych KKŻ</t>
  </si>
  <si>
    <t>Wykonanie wlotów przepustów do rowów z KKŻ</t>
  </si>
  <si>
    <t>Przebudowa hydratu w nowym rowie z KKZ</t>
  </si>
  <si>
    <t>Wycinka drzewa o śred. 50 cm z usunięcie karpy</t>
  </si>
  <si>
    <t>Wywóz gruntu z wykopów pod odwodnie na odległość do 5 km</t>
  </si>
  <si>
    <t>Wykopy w gruncie kat. I-IV pod studzienki, wpusty, rury, odwodnienie liniowe wykonywane na odkład</t>
  </si>
  <si>
    <t>Podsypka z piasku średniego o grub. 20 cm pod rury PCV i korytka żelbetowe</t>
  </si>
  <si>
    <t>Zasypka rur warstwą żwiru sortowanego o uziarnieniu 3-8 mm</t>
  </si>
  <si>
    <t>m3</t>
  </si>
  <si>
    <t>Odtworzenie nawierzchni z warstwy ścieralnej AC11S grub. 5 cm, warstwy wiążącej z AC16P grub. 7 cm, podbudowy z kruszywa łamanego stab. mechanicznie grub. 20 cm o uziarnieniu 0-31,5 mm</t>
  </si>
  <si>
    <t>m2</t>
  </si>
  <si>
    <t xml:space="preserve">Obsypka i zasypka wykopów pod rury z PCV z piasku średniego warstwami o grub. 30 cm </t>
  </si>
  <si>
    <t>Zasypka wykopów pod rury PCV z warstyw kruszywa łamanego o uziarnieniu 4-31,5 mm</t>
  </si>
  <si>
    <t>BCD D-03.02 01.33.01</t>
  </si>
  <si>
    <t>BCD D-03.02 01.41.01</t>
  </si>
  <si>
    <t>BCD D-03.02 01.23.01 interpretacja</t>
  </si>
  <si>
    <t>BCD D-03.02 01.33.01 interpretacja</t>
  </si>
  <si>
    <t>BCD D-06.02 01.11.01 interpretacja</t>
  </si>
  <si>
    <t>BCD D-03.02 01.53.01 interpretacja</t>
  </si>
  <si>
    <t>wycena ind.</t>
  </si>
  <si>
    <t>Zasypka rur ułożonych w wykopie gruntem kat. I-IV leżącym na odkładzie</t>
  </si>
  <si>
    <t>BCD D-06.01 01.66.01 interpolacja</t>
  </si>
  <si>
    <t>BCD D-06.02 01.11.01 interpolacja</t>
  </si>
  <si>
    <t>BCD D-04.08 04.11.01 interpolacja</t>
  </si>
  <si>
    <t>BCD D-01.02 01.12.03</t>
  </si>
  <si>
    <t>Wykonanie koryt przy użyciu maszyn o średniej głębokości 0,5 m</t>
  </si>
  <si>
    <t>Ręczne wykonanie, pogłębienie i wykończenie koryt o średniej głębokości 0,5 m</t>
  </si>
  <si>
    <t>Warstwa ścieralna z kostki betonowej niefazowanej - 8 cm wraz z podsypką cementowo-piaskową 1:4 - 4 cm (jezdnia)</t>
  </si>
  <si>
    <t>Warstwa ścieralna z kostki betonowej niefazowanej - 8 cm na podsypce cementowo-piaskowej 1:4 - 4cm (zjazdy)</t>
  </si>
  <si>
    <t>Warstwa ścieralna z kostki betonowej niefazowanej - 8 cm wraz z podsypką cementowo-piaskową 1:4 - 4 cm (chodnik i chodnik wzmocniony)</t>
  </si>
  <si>
    <t>Kod</t>
  </si>
  <si>
    <t>Wyszczególnienie</t>
  </si>
  <si>
    <t>Jednostka</t>
  </si>
  <si>
    <t>podstawy</t>
  </si>
  <si>
    <t>elementów</t>
  </si>
  <si>
    <t>ilość jedn.</t>
  </si>
  <si>
    <t xml:space="preserve"> opisu robót</t>
  </si>
  <si>
    <t>rozliczeniowych</t>
  </si>
  <si>
    <t>nazwa</t>
  </si>
  <si>
    <t>obliczenia</t>
  </si>
  <si>
    <t>SUMA</t>
  </si>
  <si>
    <t xml:space="preserve">PRZEDMIAR ROBÓT 
1. Utwardzenie nawierzchni placu manewrowego z kostki brukowej                                                                                                               na terenie posesji p. Leszka Jaworskiego w miejsc. Chychrowska Wola </t>
  </si>
  <si>
    <t xml:space="preserve">- ul. Konopnickiej </t>
  </si>
  <si>
    <t>40,00=</t>
  </si>
  <si>
    <t>20,00=</t>
  </si>
  <si>
    <t>44,00=</t>
  </si>
  <si>
    <t>11,00=</t>
  </si>
  <si>
    <t>7,00=</t>
  </si>
  <si>
    <t>18,00=</t>
  </si>
  <si>
    <t>12,00=</t>
  </si>
  <si>
    <t>2. Roboty ziemne, kod CPV 451112400-9</t>
  </si>
  <si>
    <t>0,40=</t>
  </si>
  <si>
    <t>2190,00=</t>
  </si>
  <si>
    <t>135,00=</t>
  </si>
  <si>
    <t>2250,00=</t>
  </si>
  <si>
    <t>250,00=</t>
  </si>
  <si>
    <t>1469,00=</t>
  </si>
  <si>
    <t>418,00=</t>
  </si>
  <si>
    <t>3. Budowa układu odwodnienia, kod CPV 45232450-1</t>
  </si>
  <si>
    <r>
      <t>Owinięcie zasypki drenażu geowłókniną o gramaturze minimum 250g/m</t>
    </r>
    <r>
      <rPr>
        <vertAlign val="superscript"/>
        <sz val="10"/>
        <rFont val="Arial"/>
        <family val="2"/>
      </rPr>
      <t>2</t>
    </r>
  </si>
  <si>
    <t>3=</t>
  </si>
  <si>
    <t>9=</t>
  </si>
  <si>
    <t>154,50=</t>
  </si>
  <si>
    <t>68,20=</t>
  </si>
  <si>
    <t>79,80=</t>
  </si>
  <si>
    <t>8,10=</t>
  </si>
  <si>
    <t>9,60=</t>
  </si>
  <si>
    <t>9,00=</t>
  </si>
  <si>
    <t>1=</t>
  </si>
  <si>
    <t>1369,60=</t>
  </si>
  <si>
    <t>618,00=</t>
  </si>
  <si>
    <t>85,00=</t>
  </si>
  <si>
    <t>142,30=</t>
  </si>
  <si>
    <t>77,30=</t>
  </si>
  <si>
    <t>117,42=</t>
  </si>
  <si>
    <t>465,10=</t>
  </si>
  <si>
    <t>740,00=</t>
  </si>
  <si>
    <t>192,30=</t>
  </si>
  <si>
    <t>28,00=</t>
  </si>
  <si>
    <t>12,69=</t>
  </si>
  <si>
    <t>31,00=</t>
  </si>
  <si>
    <t>3,50=</t>
  </si>
  <si>
    <t>5=</t>
  </si>
  <si>
    <t>17,70=</t>
  </si>
  <si>
    <t>4. Kanalizacja sanitarna, kod CPV 45232410-9</t>
  </si>
  <si>
    <t>8=</t>
  </si>
  <si>
    <t>4=</t>
  </si>
  <si>
    <t>61,00=</t>
  </si>
  <si>
    <t>228,00=</t>
  </si>
  <si>
    <t>530,00=</t>
  </si>
  <si>
    <t>175,00=</t>
  </si>
  <si>
    <t>225,00=</t>
  </si>
  <si>
    <t>5. Roboty drogowe, kod CPV 45233252-0</t>
  </si>
  <si>
    <t>342,00=</t>
  </si>
  <si>
    <t>2068,00=</t>
  </si>
  <si>
    <t>2424,00=</t>
  </si>
  <si>
    <t>27,00=</t>
  </si>
  <si>
    <t>94,00=</t>
  </si>
  <si>
    <t>48,00=</t>
  </si>
  <si>
    <t>166,00=</t>
  </si>
  <si>
    <t>19,00=</t>
  </si>
  <si>
    <t>106,00=</t>
  </si>
  <si>
    <t>119,00=</t>
  </si>
  <si>
    <t>120,00=</t>
  </si>
  <si>
    <t>121,00=</t>
  </si>
  <si>
    <t>25,00=</t>
  </si>
  <si>
    <t>904,00=</t>
  </si>
  <si>
    <t>2=</t>
  </si>
  <si>
    <t>20=</t>
  </si>
  <si>
    <t>7=</t>
  </si>
  <si>
    <t>6. Zieleńce, kod CPV 45112710-5</t>
  </si>
  <si>
    <t>72,00=</t>
  </si>
  <si>
    <t>199,00=</t>
  </si>
  <si>
    <t>7. Organizacja ruchu, kod CPV 45233290-8, 452333221-4</t>
  </si>
  <si>
    <t>13=</t>
  </si>
  <si>
    <t>12=</t>
  </si>
  <si>
    <t>32,00=</t>
  </si>
  <si>
    <t>34,00=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</si>
</sst>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_ ;\-#,##0.00\ "/>
    <numFmt numFmtId="166" formatCode="0.0"/>
    <numFmt numFmtId="167" formatCode="#,##0.0000"/>
    <numFmt numFmtId="168" formatCode="#,##0.0"/>
    <numFmt numFmtId="169" formatCode="#,##0.00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i/>
      <sz val="12"/>
      <name val="Times New Roman"/>
      <family val="1"/>
    </font>
    <font>
      <sz val="10"/>
      <name val="PL Times New Roman"/>
      <family val="0"/>
    </font>
    <font>
      <sz val="11"/>
      <name val="Times New Roman CE"/>
      <family val="1"/>
    </font>
    <font>
      <sz val="11"/>
      <color indexed="56"/>
      <name val="Times New Roman CE"/>
      <family val="1"/>
    </font>
    <font>
      <sz val="10"/>
      <name val="Arial CE"/>
      <family val="2"/>
    </font>
    <font>
      <sz val="10"/>
      <name val="Pl Courier New"/>
      <family val="0"/>
    </font>
    <font>
      <i/>
      <sz val="10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Times New Roman CE"/>
      <family val="1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>
        <color indexed="12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double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1" xfId="53" applyFont="1" applyFill="1" applyBorder="1" applyAlignment="1">
      <alignment/>
    </xf>
    <xf numFmtId="0" fontId="9" fillId="0" borderId="12" xfId="53" applyFont="1" applyFill="1" applyBorder="1" applyAlignment="1">
      <alignment horizontal="center"/>
    </xf>
    <xf numFmtId="0" fontId="6" fillId="0" borderId="13" xfId="53" applyFont="1" applyFill="1" applyBorder="1" applyAlignment="1">
      <alignment horizontal="center"/>
    </xf>
    <xf numFmtId="0" fontId="6" fillId="0" borderId="14" xfId="53" applyFont="1" applyFill="1" applyBorder="1" applyAlignment="1">
      <alignment horizontal="centerContinuous"/>
    </xf>
    <xf numFmtId="0" fontId="6" fillId="0" borderId="15" xfId="53" applyFont="1" applyFill="1" applyBorder="1" applyAlignment="1">
      <alignment horizontal="centerContinuous"/>
    </xf>
    <xf numFmtId="0" fontId="10" fillId="0" borderId="16" xfId="53" applyFont="1" applyFill="1" applyBorder="1" applyAlignment="1">
      <alignment horizontal="centerContinuous"/>
    </xf>
    <xf numFmtId="0" fontId="9" fillId="0" borderId="17" xfId="53" applyFont="1" applyFill="1" applyBorder="1" applyAlignment="1">
      <alignment horizontal="center" vertical="center"/>
    </xf>
    <xf numFmtId="0" fontId="9" fillId="0" borderId="18" xfId="53" applyFont="1" applyFill="1" applyBorder="1" applyAlignment="1">
      <alignment horizontal="center"/>
    </xf>
    <xf numFmtId="0" fontId="6" fillId="0" borderId="19" xfId="53" applyFont="1" applyFill="1" applyBorder="1" applyAlignment="1">
      <alignment horizontal="center"/>
    </xf>
    <xf numFmtId="0" fontId="9" fillId="0" borderId="20" xfId="53" applyFont="1" applyFill="1" applyBorder="1" applyAlignment="1">
      <alignment horizontal="center"/>
    </xf>
    <xf numFmtId="0" fontId="9" fillId="0" borderId="21" xfId="53" applyFont="1" applyFill="1" applyBorder="1" applyAlignment="1">
      <alignment horizontal="center"/>
    </xf>
    <xf numFmtId="0" fontId="9" fillId="0" borderId="22" xfId="53" applyFont="1" applyFill="1" applyBorder="1" applyAlignment="1">
      <alignment/>
    </xf>
    <xf numFmtId="0" fontId="9" fillId="0" borderId="23" xfId="53" applyFont="1" applyFill="1" applyBorder="1" applyAlignment="1">
      <alignment horizontal="center"/>
    </xf>
    <xf numFmtId="0" fontId="6" fillId="0" borderId="24" xfId="53" applyFont="1" applyFill="1" applyBorder="1" applyAlignment="1">
      <alignment horizontal="center"/>
    </xf>
    <xf numFmtId="0" fontId="6" fillId="0" borderId="25" xfId="53" applyFont="1" applyFill="1" applyBorder="1" applyAlignment="1">
      <alignment horizontal="center"/>
    </xf>
    <xf numFmtId="0" fontId="6" fillId="0" borderId="26" xfId="53" applyFont="1" applyBorder="1" applyAlignment="1">
      <alignment horizontal="center"/>
    </xf>
    <xf numFmtId="0" fontId="6" fillId="0" borderId="27" xfId="53" applyFont="1" applyBorder="1" applyAlignment="1">
      <alignment horizontal="center"/>
    </xf>
    <xf numFmtId="0" fontId="6" fillId="0" borderId="28" xfId="53" applyFont="1" applyBorder="1" applyAlignment="1">
      <alignment horizontal="center"/>
    </xf>
    <xf numFmtId="0" fontId="11" fillId="0" borderId="29" xfId="53" applyFont="1" applyFill="1" applyBorder="1" applyAlignment="1">
      <alignment horizontal="center" vertical="top" wrapText="1"/>
    </xf>
    <xf numFmtId="0" fontId="11" fillId="0" borderId="30" xfId="53" applyFont="1" applyFill="1" applyBorder="1" applyAlignment="1">
      <alignment horizontal="center" vertical="top" wrapText="1"/>
    </xf>
    <xf numFmtId="0" fontId="11" fillId="0" borderId="31" xfId="53" applyFont="1" applyFill="1" applyBorder="1" applyAlignment="1">
      <alignment horizontal="center" vertical="center" wrapText="1"/>
    </xf>
    <xf numFmtId="4" fontId="14" fillId="0" borderId="32" xfId="52" applyNumberFormat="1" applyFont="1" applyBorder="1" applyAlignment="1">
      <alignment horizontal="right" vertical="center"/>
      <protection/>
    </xf>
    <xf numFmtId="0" fontId="11" fillId="0" borderId="33" xfId="53" applyFont="1" applyFill="1" applyBorder="1" applyAlignment="1">
      <alignment horizontal="center" vertical="top" wrapText="1"/>
    </xf>
    <xf numFmtId="4" fontId="15" fillId="0" borderId="34" xfId="53" applyNumberFormat="1" applyFont="1" applyFill="1" applyBorder="1" applyAlignment="1">
      <alignment horizontal="center"/>
    </xf>
    <xf numFmtId="4" fontId="15" fillId="0" borderId="35" xfId="53" applyNumberFormat="1" applyFont="1" applyFill="1" applyBorder="1" applyAlignment="1">
      <alignment horizontal="center"/>
    </xf>
    <xf numFmtId="0" fontId="11" fillId="0" borderId="29" xfId="53" applyFont="1" applyFill="1" applyBorder="1" applyAlignment="1">
      <alignment horizontal="center" vertical="center" wrapText="1"/>
    </xf>
    <xf numFmtId="168" fontId="15" fillId="0" borderId="36" xfId="53" applyNumberFormat="1" applyFont="1" applyFill="1" applyBorder="1" applyAlignment="1">
      <alignment horizontal="center"/>
    </xf>
    <xf numFmtId="0" fontId="11" fillId="0" borderId="37" xfId="53" applyFont="1" applyFill="1" applyBorder="1" applyAlignment="1">
      <alignment horizontal="center" vertical="center" wrapText="1"/>
    </xf>
    <xf numFmtId="3" fontId="11" fillId="0" borderId="36" xfId="53" applyNumberFormat="1" applyFont="1" applyFill="1" applyBorder="1" applyAlignment="1">
      <alignment horizontal="center"/>
    </xf>
    <xf numFmtId="0" fontId="11" fillId="0" borderId="29" xfId="53" applyFont="1" applyBorder="1" applyAlignment="1">
      <alignment horizontal="center" vertical="top" wrapText="1"/>
    </xf>
    <xf numFmtId="0" fontId="11" fillId="0" borderId="38" xfId="53" applyFont="1" applyFill="1" applyBorder="1" applyAlignment="1">
      <alignment horizontal="center" vertical="top" wrapText="1"/>
    </xf>
    <xf numFmtId="0" fontId="6" fillId="0" borderId="36" xfId="53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/>
    </xf>
    <xf numFmtId="0" fontId="33" fillId="0" borderId="40" xfId="53" applyFont="1" applyBorder="1" applyAlignment="1">
      <alignment horizontal="center" vertical="center" wrapText="1"/>
    </xf>
    <xf numFmtId="0" fontId="33" fillId="0" borderId="41" xfId="53" applyFont="1" applyBorder="1" applyAlignment="1">
      <alignment horizontal="center" vertical="center" wrapText="1"/>
    </xf>
    <xf numFmtId="0" fontId="33" fillId="0" borderId="41" xfId="53" applyFont="1" applyBorder="1" applyAlignment="1">
      <alignment horizontal="center" vertical="center"/>
    </xf>
    <xf numFmtId="0" fontId="33" fillId="0" borderId="42" xfId="53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45" xfId="53" applyFont="1" applyFill="1" applyBorder="1" applyAlignment="1">
      <alignment horizontal="right"/>
    </xf>
    <xf numFmtId="0" fontId="3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11" fillId="0" borderId="46" xfId="53" applyFont="1" applyFill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center" wrapText="1"/>
    </xf>
    <xf numFmtId="0" fontId="13" fillId="0" borderId="47" xfId="56" applyFont="1" applyFill="1" applyBorder="1" applyAlignment="1" quotePrefix="1">
      <alignment vertical="center" wrapText="1"/>
    </xf>
    <xf numFmtId="0" fontId="11" fillId="0" borderId="47" xfId="53" applyFont="1" applyFill="1" applyBorder="1" applyAlignment="1">
      <alignment horizontal="center" vertical="center"/>
    </xf>
    <xf numFmtId="4" fontId="14" fillId="0" borderId="47" xfId="52" applyNumberFormat="1" applyFont="1" applyBorder="1" applyAlignment="1">
      <alignment horizontal="right" vertical="center" wrapText="1"/>
      <protection/>
    </xf>
    <xf numFmtId="0" fontId="11" fillId="0" borderId="48" xfId="56" applyFont="1" applyFill="1" applyBorder="1" applyAlignment="1">
      <alignment horizontal="right" wrapText="1"/>
    </xf>
    <xf numFmtId="0" fontId="11" fillId="0" borderId="48" xfId="53" applyFont="1" applyBorder="1" applyAlignment="1">
      <alignment horizontal="center" wrapText="1"/>
    </xf>
    <xf numFmtId="0" fontId="11" fillId="0" borderId="48" xfId="53" applyFont="1" applyFill="1" applyBorder="1" applyAlignment="1">
      <alignment horizontal="right"/>
    </xf>
    <xf numFmtId="0" fontId="0" fillId="0" borderId="20" xfId="0" applyFont="1" applyBorder="1" applyAlignment="1">
      <alignment horizontal="left" vertical="center" wrapText="1"/>
    </xf>
    <xf numFmtId="0" fontId="0" fillId="0" borderId="30" xfId="53" applyFont="1" applyFill="1" applyBorder="1" applyAlignment="1">
      <alignment horizontal="center" vertical="top" wrapText="1"/>
    </xf>
    <xf numFmtId="0" fontId="36" fillId="0" borderId="47" xfId="56" applyFont="1" applyFill="1" applyBorder="1" applyAlignment="1" quotePrefix="1">
      <alignment vertical="center" wrapText="1"/>
    </xf>
    <xf numFmtId="0" fontId="0" fillId="0" borderId="47" xfId="53" applyFont="1" applyFill="1" applyBorder="1" applyAlignment="1">
      <alignment horizontal="center" vertical="center"/>
    </xf>
    <xf numFmtId="0" fontId="0" fillId="0" borderId="48" xfId="56" applyFont="1" applyFill="1" applyBorder="1" applyAlignment="1">
      <alignment horizontal="right" wrapText="1"/>
    </xf>
    <xf numFmtId="0" fontId="0" fillId="0" borderId="48" xfId="53" applyFont="1" applyBorder="1" applyAlignment="1">
      <alignment horizontal="center" wrapText="1"/>
    </xf>
    <xf numFmtId="0" fontId="34" fillId="0" borderId="20" xfId="0" applyFont="1" applyBorder="1" applyAlignment="1">
      <alignment horizontal="center" vertical="center"/>
    </xf>
    <xf numFmtId="167" fontId="15" fillId="0" borderId="35" xfId="53" applyNumberFormat="1" applyFont="1" applyFill="1" applyBorder="1" applyAlignment="1">
      <alignment horizontal="center"/>
    </xf>
    <xf numFmtId="0" fontId="0" fillId="0" borderId="46" xfId="53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left" vertical="center"/>
    </xf>
    <xf numFmtId="0" fontId="35" fillId="0" borderId="30" xfId="53" applyFont="1" applyFill="1" applyBorder="1" applyAlignment="1">
      <alignment horizontal="center" vertical="top" wrapText="1"/>
    </xf>
    <xf numFmtId="0" fontId="35" fillId="0" borderId="46" xfId="53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167" fontId="15" fillId="0" borderId="50" xfId="53" applyNumberFormat="1" applyFont="1" applyFill="1" applyBorder="1" applyAlignment="1">
      <alignment horizontal="center"/>
    </xf>
    <xf numFmtId="0" fontId="35" fillId="0" borderId="51" xfId="53" applyFont="1" applyFill="1" applyBorder="1" applyAlignment="1">
      <alignment horizontal="center" vertical="top" wrapText="1"/>
    </xf>
    <xf numFmtId="0" fontId="0" fillId="0" borderId="52" xfId="56" applyFont="1" applyFill="1" applyBorder="1" applyAlignment="1">
      <alignment horizontal="right" wrapText="1"/>
    </xf>
    <xf numFmtId="0" fontId="0" fillId="0" borderId="52" xfId="53" applyFont="1" applyBorder="1" applyAlignment="1">
      <alignment horizontal="center" wrapText="1"/>
    </xf>
    <xf numFmtId="0" fontId="11" fillId="0" borderId="52" xfId="53" applyFont="1" applyFill="1" applyBorder="1" applyAlignment="1">
      <alignment horizontal="right"/>
    </xf>
    <xf numFmtId="0" fontId="0" fillId="0" borderId="47" xfId="56" applyFont="1" applyFill="1" applyBorder="1" applyAlignment="1">
      <alignment horizontal="right" wrapText="1"/>
    </xf>
    <xf numFmtId="0" fontId="0" fillId="0" borderId="47" xfId="53" applyFont="1" applyBorder="1" applyAlignment="1">
      <alignment horizontal="center" wrapText="1"/>
    </xf>
    <xf numFmtId="0" fontId="11" fillId="0" borderId="47" xfId="53" applyFont="1" applyFill="1" applyBorder="1" applyAlignment="1">
      <alignment horizontal="right"/>
    </xf>
    <xf numFmtId="4" fontId="15" fillId="0" borderId="36" xfId="53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1" fontId="5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166" fontId="5" fillId="0" borderId="20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4" fontId="15" fillId="0" borderId="53" xfId="53" applyNumberFormat="1" applyFont="1" applyFill="1" applyBorder="1" applyAlignment="1">
      <alignment horizontal="center"/>
    </xf>
    <xf numFmtId="3" fontId="14" fillId="0" borderId="32" xfId="52" applyNumberFormat="1" applyFont="1" applyBorder="1" applyAlignment="1">
      <alignment horizontal="right" vertical="center"/>
      <protection/>
    </xf>
    <xf numFmtId="3" fontId="15" fillId="0" borderId="34" xfId="53" applyNumberFormat="1" applyFont="1" applyFill="1" applyBorder="1" applyAlignment="1">
      <alignment horizontal="center"/>
    </xf>
    <xf numFmtId="0" fontId="11" fillId="0" borderId="17" xfId="53" applyFont="1" applyFill="1" applyBorder="1" applyAlignment="1">
      <alignment horizontal="center" vertical="top" wrapText="1"/>
    </xf>
    <xf numFmtId="0" fontId="35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vertical="center" wrapText="1"/>
    </xf>
    <xf numFmtId="2" fontId="5" fillId="0" borderId="20" xfId="0" applyNumberFormat="1" applyFont="1" applyBorder="1" applyAlignment="1">
      <alignment horizontal="right" vertical="center"/>
    </xf>
    <xf numFmtId="0" fontId="11" fillId="0" borderId="17" xfId="53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45" xfId="56" applyFont="1" applyFill="1" applyBorder="1" applyAlignment="1">
      <alignment horizontal="right" wrapText="1"/>
    </xf>
    <xf numFmtId="0" fontId="0" fillId="0" borderId="45" xfId="53" applyFont="1" applyBorder="1" applyAlignment="1">
      <alignment horizontal="center" wrapText="1"/>
    </xf>
    <xf numFmtId="0" fontId="0" fillId="34" borderId="5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3" fontId="15" fillId="0" borderId="35" xfId="53" applyNumberFormat="1" applyFont="1" applyFill="1" applyBorder="1" applyAlignment="1">
      <alignment horizontal="center"/>
    </xf>
    <xf numFmtId="0" fontId="4" fillId="33" borderId="56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left" vertical="center"/>
    </xf>
    <xf numFmtId="3" fontId="15" fillId="0" borderId="58" xfId="53" applyNumberFormat="1" applyFont="1" applyFill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oga przywałowa - kosztorys powykonawczy" xfId="52"/>
    <cellStyle name="Normalny_przedmiar i KI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3"/>
  <sheetViews>
    <sheetView tabSelected="1" zoomScalePageLayoutView="0" workbookViewId="0" topLeftCell="A227">
      <selection activeCell="D244" sqref="D244"/>
    </sheetView>
  </sheetViews>
  <sheetFormatPr defaultColWidth="9.140625" defaultRowHeight="12.75"/>
  <cols>
    <col min="1" max="1" width="4.7109375" style="1" customWidth="1"/>
    <col min="2" max="2" width="11.8515625" style="1" customWidth="1"/>
    <col min="3" max="3" width="41.7109375" style="1" customWidth="1"/>
    <col min="4" max="4" width="8.28125" style="1" customWidth="1"/>
    <col min="5" max="5" width="14.7109375" style="1" customWidth="1"/>
    <col min="6" max="6" width="12.7109375" style="0" customWidth="1"/>
    <col min="7" max="7" width="18.00390625" style="0" customWidth="1"/>
    <col min="8" max="16384" width="9.140625" style="1" customWidth="1"/>
  </cols>
  <sheetData>
    <row r="1" spans="1:255" ht="13.5" thickBot="1">
      <c r="A1"/>
      <c r="B1"/>
      <c r="C1"/>
      <c r="D1"/>
      <c r="E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>
      <c r="A2" s="35" t="s">
        <v>154</v>
      </c>
      <c r="B2" s="36"/>
      <c r="C2" s="37"/>
      <c r="D2" s="37"/>
      <c r="E2" s="37"/>
      <c r="F2" s="3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6.5" thickBot="1">
      <c r="A3" s="39" t="s">
        <v>61</v>
      </c>
      <c r="B3" s="40"/>
      <c r="C3" s="40"/>
      <c r="D3" s="40"/>
      <c r="E3" s="40"/>
      <c r="F3" s="4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">
      <c r="A4" s="2"/>
      <c r="B4" s="3" t="s">
        <v>143</v>
      </c>
      <c r="C4" s="4" t="s">
        <v>144</v>
      </c>
      <c r="D4" s="5" t="s">
        <v>145</v>
      </c>
      <c r="E4" s="6"/>
      <c r="F4" s="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">
      <c r="A5" s="8" t="s">
        <v>0</v>
      </c>
      <c r="B5" s="9" t="s">
        <v>146</v>
      </c>
      <c r="C5" s="10" t="s">
        <v>147</v>
      </c>
      <c r="D5" s="11"/>
      <c r="E5" s="12"/>
      <c r="F5" s="33" t="s">
        <v>148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5.75" thickBot="1">
      <c r="A6" s="13"/>
      <c r="B6" s="14" t="s">
        <v>149</v>
      </c>
      <c r="C6" s="15" t="s">
        <v>150</v>
      </c>
      <c r="D6" s="15" t="s">
        <v>151</v>
      </c>
      <c r="E6" s="16" t="s">
        <v>152</v>
      </c>
      <c r="F6" s="3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 thickBot="1" thickTop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9">
        <v>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9.5" customHeight="1" thickTop="1">
      <c r="A8" s="99" t="s">
        <v>3</v>
      </c>
      <c r="B8" s="63"/>
      <c r="C8" s="63"/>
      <c r="D8" s="63"/>
      <c r="E8" s="63"/>
      <c r="F8" s="10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22">
        <v>1</v>
      </c>
      <c r="B9" s="47" t="s">
        <v>65</v>
      </c>
      <c r="C9" s="54" t="s">
        <v>10</v>
      </c>
      <c r="D9" s="44"/>
      <c r="E9" s="45"/>
      <c r="F9" s="3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" customHeight="1">
      <c r="A10" s="20"/>
      <c r="B10" s="21"/>
      <c r="C10" s="48" t="s">
        <v>155</v>
      </c>
      <c r="D10" s="49" t="s">
        <v>105</v>
      </c>
      <c r="E10" s="50" t="s">
        <v>156</v>
      </c>
      <c r="F10" s="23">
        <f>40</f>
        <v>40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5" customHeight="1">
      <c r="A11" s="24"/>
      <c r="B11" s="46"/>
      <c r="C11" s="51" t="s">
        <v>153</v>
      </c>
      <c r="D11" s="52" t="s">
        <v>105</v>
      </c>
      <c r="E11" s="53"/>
      <c r="F11" s="25">
        <f>SUM(F10:F10)</f>
        <v>40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22">
        <f>MAX($A$1:A11)+1</f>
        <v>2</v>
      </c>
      <c r="B12" s="43" t="s">
        <v>66</v>
      </c>
      <c r="C12" s="54" t="s">
        <v>11</v>
      </c>
      <c r="D12" s="60"/>
      <c r="E12" s="45"/>
      <c r="F12" s="6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" customHeight="1">
      <c r="A13" s="20"/>
      <c r="B13" s="55"/>
      <c r="C13" s="56" t="s">
        <v>155</v>
      </c>
      <c r="D13" s="57" t="s">
        <v>105</v>
      </c>
      <c r="E13" s="50" t="s">
        <v>157</v>
      </c>
      <c r="F13" s="23">
        <f>20</f>
        <v>20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5" customHeight="1">
      <c r="A14" s="24"/>
      <c r="B14" s="62"/>
      <c r="C14" s="58" t="s">
        <v>153</v>
      </c>
      <c r="D14" s="59" t="s">
        <v>105</v>
      </c>
      <c r="E14" s="53"/>
      <c r="F14" s="25">
        <f>SUM(F13:F13)</f>
        <v>20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0" customHeight="1">
      <c r="A15" s="22">
        <f>MAX($A$1:A14)+1</f>
        <v>3</v>
      </c>
      <c r="B15" s="43" t="s">
        <v>67</v>
      </c>
      <c r="C15" s="54" t="s">
        <v>48</v>
      </c>
      <c r="D15" s="44"/>
      <c r="E15" s="45"/>
      <c r="F15" s="6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5" customHeight="1">
      <c r="A16" s="20"/>
      <c r="B16" s="55"/>
      <c r="C16" s="56" t="s">
        <v>155</v>
      </c>
      <c r="D16" s="57" t="s">
        <v>123</v>
      </c>
      <c r="E16" s="50" t="s">
        <v>158</v>
      </c>
      <c r="F16" s="23">
        <f>44</f>
        <v>44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" customHeight="1">
      <c r="A17" s="24"/>
      <c r="B17" s="62"/>
      <c r="C17" s="58" t="s">
        <v>153</v>
      </c>
      <c r="D17" s="59" t="s">
        <v>123</v>
      </c>
      <c r="E17" s="53"/>
      <c r="F17" s="25">
        <f>SUM(F16:F16)</f>
        <v>44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22">
        <f>MAX($A$1:A17)+1</f>
        <v>4</v>
      </c>
      <c r="B18" s="43" t="s">
        <v>68</v>
      </c>
      <c r="C18" s="54" t="s">
        <v>12</v>
      </c>
      <c r="D18" s="66"/>
      <c r="E18" s="45"/>
      <c r="F18" s="6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" customHeight="1">
      <c r="A19" s="20"/>
      <c r="B19" s="64"/>
      <c r="C19" s="56" t="s">
        <v>155</v>
      </c>
      <c r="D19" s="57" t="s">
        <v>123</v>
      </c>
      <c r="E19" s="50" t="s">
        <v>159</v>
      </c>
      <c r="F19" s="23">
        <f>11</f>
        <v>11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" customHeight="1">
      <c r="A20" s="20"/>
      <c r="B20" s="64"/>
      <c r="C20" s="72" t="s">
        <v>153</v>
      </c>
      <c r="D20" s="73" t="s">
        <v>123</v>
      </c>
      <c r="E20" s="74"/>
      <c r="F20" s="75">
        <f>SUM(F19:F19)</f>
        <v>11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30" customHeight="1">
      <c r="A21" s="22">
        <f>MAX($A$1:A20)+1</f>
        <v>5</v>
      </c>
      <c r="B21" s="43" t="s">
        <v>69</v>
      </c>
      <c r="C21" s="54" t="s">
        <v>47</v>
      </c>
      <c r="D21" s="66"/>
      <c r="E21" s="45"/>
      <c r="F21" s="6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" customHeight="1">
      <c r="A22" s="20"/>
      <c r="B22" s="64"/>
      <c r="C22" s="56" t="s">
        <v>155</v>
      </c>
      <c r="D22" s="57" t="s">
        <v>123</v>
      </c>
      <c r="E22" s="50" t="s">
        <v>160</v>
      </c>
      <c r="F22" s="23">
        <f>7</f>
        <v>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" customHeight="1">
      <c r="A23" s="24"/>
      <c r="B23" s="65"/>
      <c r="C23" s="58" t="s">
        <v>153</v>
      </c>
      <c r="D23" s="59" t="s">
        <v>123</v>
      </c>
      <c r="E23" s="53"/>
      <c r="F23" s="25">
        <f>SUM(F22:F22)</f>
        <v>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4.75" customHeight="1">
      <c r="A24" s="22">
        <f>MAX($A$1:A23)+1</f>
        <v>6</v>
      </c>
      <c r="B24" s="43" t="s">
        <v>70</v>
      </c>
      <c r="C24" s="76" t="s">
        <v>60</v>
      </c>
      <c r="D24" s="66"/>
      <c r="E24" s="45"/>
      <c r="F24" s="6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5" customHeight="1">
      <c r="A25" s="20"/>
      <c r="B25" s="64"/>
      <c r="C25" s="56" t="s">
        <v>155</v>
      </c>
      <c r="D25" s="57" t="s">
        <v>105</v>
      </c>
      <c r="E25" s="50" t="s">
        <v>161</v>
      </c>
      <c r="F25" s="23">
        <f>18</f>
        <v>18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5" customHeight="1">
      <c r="A26" s="20"/>
      <c r="B26" s="64"/>
      <c r="C26" s="72" t="s">
        <v>153</v>
      </c>
      <c r="D26" s="73" t="s">
        <v>105</v>
      </c>
      <c r="E26" s="74"/>
      <c r="F26" s="75">
        <f>SUM(F25:F25)</f>
        <v>18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39.75" customHeight="1">
      <c r="A27" s="22">
        <f>MAX($A$1:A26)+1</f>
        <v>7</v>
      </c>
      <c r="B27" s="43" t="s">
        <v>71</v>
      </c>
      <c r="C27" s="54" t="s">
        <v>46</v>
      </c>
      <c r="D27" s="66"/>
      <c r="E27" s="77"/>
      <c r="F27" s="61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3.5" customHeight="1">
      <c r="A28" s="20"/>
      <c r="B28" s="55"/>
      <c r="C28" s="56" t="s">
        <v>155</v>
      </c>
      <c r="D28" s="57" t="s">
        <v>121</v>
      </c>
      <c r="E28" s="50" t="s">
        <v>162</v>
      </c>
      <c r="F28" s="23">
        <f>12</f>
        <v>12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3.5" customHeight="1" thickBot="1">
      <c r="A29" s="24"/>
      <c r="B29" s="62"/>
      <c r="C29" s="58" t="s">
        <v>153</v>
      </c>
      <c r="D29" s="59" t="s">
        <v>121</v>
      </c>
      <c r="E29" s="53"/>
      <c r="F29" s="25">
        <f>SUM(F28:F28)</f>
        <v>12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6" ht="19.5" customHeight="1" thickTop="1">
      <c r="A30" s="99" t="s">
        <v>163</v>
      </c>
      <c r="B30" s="63"/>
      <c r="C30" s="63"/>
      <c r="D30" s="63"/>
      <c r="E30" s="63"/>
      <c r="F30" s="100"/>
    </row>
    <row r="31" spans="1:6" ht="30" customHeight="1">
      <c r="A31" s="22">
        <f>MAX($A$1:A30)+1</f>
        <v>8</v>
      </c>
      <c r="B31" s="43" t="s">
        <v>72</v>
      </c>
      <c r="C31" s="78" t="s">
        <v>13</v>
      </c>
      <c r="D31" s="60"/>
      <c r="E31" s="79"/>
      <c r="F31" s="61"/>
    </row>
    <row r="32" spans="1:6" ht="15" customHeight="1">
      <c r="A32" s="20"/>
      <c r="B32" s="64"/>
      <c r="C32" s="56" t="s">
        <v>155</v>
      </c>
      <c r="D32" s="57" t="s">
        <v>4</v>
      </c>
      <c r="E32" s="50" t="s">
        <v>164</v>
      </c>
      <c r="F32" s="23">
        <v>0.4</v>
      </c>
    </row>
    <row r="33" spans="1:6" ht="15" customHeight="1">
      <c r="A33" s="24"/>
      <c r="B33" s="65"/>
      <c r="C33" s="58" t="s">
        <v>153</v>
      </c>
      <c r="D33" s="59" t="s">
        <v>4</v>
      </c>
      <c r="E33" s="53"/>
      <c r="F33" s="25">
        <f>SUM(F32:F32)</f>
        <v>0.4</v>
      </c>
    </row>
    <row r="34" spans="1:6" ht="43.5" customHeight="1">
      <c r="A34" s="22">
        <f>MAX($A$1:A33)+1</f>
        <v>9</v>
      </c>
      <c r="B34" s="43" t="s">
        <v>73</v>
      </c>
      <c r="C34" s="54" t="s">
        <v>49</v>
      </c>
      <c r="D34" s="60"/>
      <c r="E34" s="80"/>
      <c r="F34" s="26"/>
    </row>
    <row r="35" spans="1:6" ht="15" customHeight="1">
      <c r="A35" s="20"/>
      <c r="B35" s="64"/>
      <c r="C35" s="56" t="s">
        <v>155</v>
      </c>
      <c r="D35" s="57" t="s">
        <v>123</v>
      </c>
      <c r="E35" s="50" t="s">
        <v>165</v>
      </c>
      <c r="F35" s="23">
        <f>2190</f>
        <v>2190</v>
      </c>
    </row>
    <row r="36" spans="1:6" ht="15" customHeight="1">
      <c r="A36" s="24"/>
      <c r="B36" s="65"/>
      <c r="C36" s="58" t="s">
        <v>153</v>
      </c>
      <c r="D36" s="59" t="s">
        <v>123</v>
      </c>
      <c r="E36" s="53"/>
      <c r="F36" s="25">
        <f>SUM(F35:F35)</f>
        <v>2190</v>
      </c>
    </row>
    <row r="37" spans="1:6" ht="39.75" customHeight="1">
      <c r="A37" s="27">
        <f>MAX($A$1:A36)+1</f>
        <v>10</v>
      </c>
      <c r="B37" s="43" t="s">
        <v>74</v>
      </c>
      <c r="C37" s="81" t="s">
        <v>42</v>
      </c>
      <c r="D37" s="66"/>
      <c r="E37" s="80"/>
      <c r="F37" s="26"/>
    </row>
    <row r="38" spans="1:6" ht="15" customHeight="1">
      <c r="A38" s="20"/>
      <c r="B38" s="64"/>
      <c r="C38" s="56" t="s">
        <v>155</v>
      </c>
      <c r="D38" s="57" t="s">
        <v>121</v>
      </c>
      <c r="E38" s="50" t="s">
        <v>166</v>
      </c>
      <c r="F38" s="23">
        <f>135</f>
        <v>135</v>
      </c>
    </row>
    <row r="39" spans="1:6" ht="15" customHeight="1">
      <c r="A39" s="24"/>
      <c r="B39" s="65"/>
      <c r="C39" s="58" t="s">
        <v>153</v>
      </c>
      <c r="D39" s="59" t="s">
        <v>121</v>
      </c>
      <c r="E39" s="53"/>
      <c r="F39" s="25">
        <f>SUM(F38:F38)</f>
        <v>135</v>
      </c>
    </row>
    <row r="40" spans="1:6" ht="30" customHeight="1">
      <c r="A40" s="27">
        <f>MAX($A$1:A39)+1</f>
        <v>11</v>
      </c>
      <c r="B40" s="43" t="s">
        <v>75</v>
      </c>
      <c r="C40" s="82" t="s">
        <v>138</v>
      </c>
      <c r="D40" s="66"/>
      <c r="E40" s="80"/>
      <c r="F40" s="26"/>
    </row>
    <row r="41" spans="1:6" ht="15" customHeight="1">
      <c r="A41" s="20"/>
      <c r="B41" s="64"/>
      <c r="C41" s="56" t="s">
        <v>155</v>
      </c>
      <c r="D41" s="57" t="s">
        <v>123</v>
      </c>
      <c r="E41" s="50" t="s">
        <v>167</v>
      </c>
      <c r="F41" s="23">
        <f>2250</f>
        <v>2250</v>
      </c>
    </row>
    <row r="42" spans="1:6" ht="15" customHeight="1">
      <c r="A42" s="24"/>
      <c r="B42" s="65"/>
      <c r="C42" s="58" t="s">
        <v>153</v>
      </c>
      <c r="D42" s="59" t="s">
        <v>123</v>
      </c>
      <c r="E42" s="53"/>
      <c r="F42" s="25">
        <f>SUM(F41:F41)</f>
        <v>2250</v>
      </c>
    </row>
    <row r="43" spans="1:6" ht="30" customHeight="1">
      <c r="A43" s="27">
        <f>MAX($A$1:A42)+1</f>
        <v>12</v>
      </c>
      <c r="B43" s="43" t="s">
        <v>76</v>
      </c>
      <c r="C43" s="82" t="s">
        <v>139</v>
      </c>
      <c r="D43" s="66"/>
      <c r="E43" s="80"/>
      <c r="F43" s="26"/>
    </row>
    <row r="44" spans="1:6" ht="15" customHeight="1">
      <c r="A44" s="20"/>
      <c r="B44" s="64"/>
      <c r="C44" s="56" t="s">
        <v>155</v>
      </c>
      <c r="D44" s="57" t="s">
        <v>123</v>
      </c>
      <c r="E44" s="50" t="s">
        <v>168</v>
      </c>
      <c r="F44" s="23">
        <f>250</f>
        <v>250</v>
      </c>
    </row>
    <row r="45" spans="1:6" ht="15" customHeight="1">
      <c r="A45" s="24"/>
      <c r="B45" s="65"/>
      <c r="C45" s="58" t="s">
        <v>153</v>
      </c>
      <c r="D45" s="59" t="s">
        <v>123</v>
      </c>
      <c r="E45" s="53"/>
      <c r="F45" s="25">
        <f>SUM(F44:F44)</f>
        <v>250</v>
      </c>
    </row>
    <row r="46" spans="1:6" ht="39.75" customHeight="1">
      <c r="A46" s="27">
        <f>MAX($A$1:A45)+1</f>
        <v>13</v>
      </c>
      <c r="B46" s="43" t="s">
        <v>71</v>
      </c>
      <c r="C46" s="82" t="s">
        <v>50</v>
      </c>
      <c r="D46" s="66"/>
      <c r="E46" s="80"/>
      <c r="F46" s="26"/>
    </row>
    <row r="47" spans="1:6" ht="15" customHeight="1">
      <c r="A47" s="20"/>
      <c r="B47" s="64"/>
      <c r="C47" s="56" t="s">
        <v>155</v>
      </c>
      <c r="D47" s="57" t="s">
        <v>121</v>
      </c>
      <c r="E47" s="50" t="s">
        <v>169</v>
      </c>
      <c r="F47" s="23">
        <f>1469</f>
        <v>1469</v>
      </c>
    </row>
    <row r="48" spans="1:6" ht="15" customHeight="1">
      <c r="A48" s="24"/>
      <c r="B48" s="65"/>
      <c r="C48" s="58" t="s">
        <v>153</v>
      </c>
      <c r="D48" s="59" t="s">
        <v>121</v>
      </c>
      <c r="E48" s="53"/>
      <c r="F48" s="25">
        <f>SUM(F47:F47)</f>
        <v>1469</v>
      </c>
    </row>
    <row r="49" spans="1:6" ht="36">
      <c r="A49" s="27">
        <f>MAX($A$1:A48)+1</f>
        <v>14</v>
      </c>
      <c r="B49" s="43" t="s">
        <v>77</v>
      </c>
      <c r="C49" s="82" t="s">
        <v>20</v>
      </c>
      <c r="D49" s="66"/>
      <c r="E49" s="45"/>
      <c r="F49" s="26"/>
    </row>
    <row r="50" spans="1:6" ht="12.75">
      <c r="A50" s="20"/>
      <c r="B50" s="55"/>
      <c r="C50" s="56" t="s">
        <v>155</v>
      </c>
      <c r="D50" s="57" t="s">
        <v>121</v>
      </c>
      <c r="E50" s="50" t="s">
        <v>170</v>
      </c>
      <c r="F50" s="23">
        <f>418</f>
        <v>418</v>
      </c>
    </row>
    <row r="51" spans="1:6" ht="13.5" thickBot="1">
      <c r="A51" s="24"/>
      <c r="B51" s="62"/>
      <c r="C51" s="58" t="s">
        <v>153</v>
      </c>
      <c r="D51" s="59" t="s">
        <v>121</v>
      </c>
      <c r="E51" s="53"/>
      <c r="F51" s="25">
        <f>SUM(F50:F50)</f>
        <v>418</v>
      </c>
    </row>
    <row r="52" spans="1:6" ht="19.5" customHeight="1" thickTop="1">
      <c r="A52" s="99" t="s">
        <v>171</v>
      </c>
      <c r="B52" s="63"/>
      <c r="C52" s="63"/>
      <c r="D52" s="63"/>
      <c r="E52" s="63"/>
      <c r="F52" s="100"/>
    </row>
    <row r="53" spans="1:6" ht="45" customHeight="1">
      <c r="A53" s="27">
        <f>MAX($A$1:A52)+1</f>
        <v>15</v>
      </c>
      <c r="B53" s="43" t="s">
        <v>126</v>
      </c>
      <c r="C53" s="81" t="s">
        <v>103</v>
      </c>
      <c r="D53" s="66"/>
      <c r="E53" s="45"/>
      <c r="F53" s="28"/>
    </row>
    <row r="54" spans="1:6" ht="15" customHeight="1">
      <c r="A54" s="20"/>
      <c r="B54" s="64"/>
      <c r="C54" s="56" t="s">
        <v>155</v>
      </c>
      <c r="D54" s="57" t="s">
        <v>2</v>
      </c>
      <c r="E54" s="50" t="s">
        <v>173</v>
      </c>
      <c r="F54" s="84">
        <f>3</f>
        <v>3</v>
      </c>
    </row>
    <row r="55" spans="1:6" ht="15" customHeight="1">
      <c r="A55" s="20"/>
      <c r="B55" s="65"/>
      <c r="C55" s="58" t="s">
        <v>153</v>
      </c>
      <c r="D55" s="59" t="s">
        <v>2</v>
      </c>
      <c r="E55" s="53"/>
      <c r="F55" s="85">
        <f>SUM(F54:F54)</f>
        <v>3</v>
      </c>
    </row>
    <row r="56" spans="1:6" ht="30" customHeight="1">
      <c r="A56" s="29">
        <f>MAX($A$1:A54)+1</f>
        <v>16</v>
      </c>
      <c r="B56" s="43" t="s">
        <v>127</v>
      </c>
      <c r="C56" s="81" t="s">
        <v>104</v>
      </c>
      <c r="D56" s="66"/>
      <c r="E56" s="45"/>
      <c r="F56" s="30"/>
    </row>
    <row r="57" spans="1:6" ht="15" customHeight="1">
      <c r="A57" s="31"/>
      <c r="B57" s="64"/>
      <c r="C57" s="56" t="s">
        <v>155</v>
      </c>
      <c r="D57" s="57" t="s">
        <v>2</v>
      </c>
      <c r="E57" s="50" t="s">
        <v>174</v>
      </c>
      <c r="F57" s="84">
        <f>9</f>
        <v>9</v>
      </c>
    </row>
    <row r="58" spans="1:6" ht="15" customHeight="1">
      <c r="A58" s="31"/>
      <c r="B58" s="65"/>
      <c r="C58" s="58" t="s">
        <v>153</v>
      </c>
      <c r="D58" s="59" t="s">
        <v>2</v>
      </c>
      <c r="E58" s="53"/>
      <c r="F58" s="85">
        <f>SUM(F57:F57)</f>
        <v>9</v>
      </c>
    </row>
    <row r="59" spans="1:6" ht="39.75" customHeight="1">
      <c r="A59" s="29">
        <f>MAX($A$1:A58)+1</f>
        <v>17</v>
      </c>
      <c r="B59" s="43" t="s">
        <v>131</v>
      </c>
      <c r="C59" s="81" t="s">
        <v>106</v>
      </c>
      <c r="D59" s="66"/>
      <c r="E59" s="79"/>
      <c r="F59" s="30"/>
    </row>
    <row r="60" spans="1:6" ht="15" customHeight="1">
      <c r="A60" s="20"/>
      <c r="B60" s="64"/>
      <c r="C60" s="56" t="s">
        <v>155</v>
      </c>
      <c r="D60" s="57" t="s">
        <v>105</v>
      </c>
      <c r="E60" s="50" t="s">
        <v>175</v>
      </c>
      <c r="F60" s="23">
        <f>154.5</f>
        <v>154.5</v>
      </c>
    </row>
    <row r="61" spans="1:6" ht="15" customHeight="1">
      <c r="A61" s="24"/>
      <c r="B61" s="65"/>
      <c r="C61" s="58" t="s">
        <v>153</v>
      </c>
      <c r="D61" s="59" t="s">
        <v>105</v>
      </c>
      <c r="E61" s="53"/>
      <c r="F61" s="25">
        <f>SUM(F60:F60)</f>
        <v>154.5</v>
      </c>
    </row>
    <row r="62" spans="1:6" ht="39.75" customHeight="1">
      <c r="A62" s="29">
        <f>MAX($A$1:A61)+1</f>
        <v>18</v>
      </c>
      <c r="B62" s="43" t="s">
        <v>128</v>
      </c>
      <c r="C62" s="81" t="s">
        <v>107</v>
      </c>
      <c r="D62" s="66"/>
      <c r="E62" s="45"/>
      <c r="F62" s="30"/>
    </row>
    <row r="63" spans="1:6" ht="15" customHeight="1">
      <c r="A63" s="20"/>
      <c r="B63" s="64"/>
      <c r="C63" s="56" t="s">
        <v>155</v>
      </c>
      <c r="D63" s="57" t="s">
        <v>105</v>
      </c>
      <c r="E63" s="50" t="s">
        <v>176</v>
      </c>
      <c r="F63" s="23">
        <f>68.2</f>
        <v>68.2</v>
      </c>
    </row>
    <row r="64" spans="1:6" ht="15" customHeight="1">
      <c r="A64" s="24"/>
      <c r="B64" s="65"/>
      <c r="C64" s="58" t="s">
        <v>153</v>
      </c>
      <c r="D64" s="59" t="s">
        <v>105</v>
      </c>
      <c r="E64" s="53"/>
      <c r="F64" s="25">
        <f>SUM(F63:F63)</f>
        <v>68.2</v>
      </c>
    </row>
    <row r="65" spans="1:6" ht="39.75" customHeight="1">
      <c r="A65" s="29">
        <f>MAX($A$1:A64)+1</f>
        <v>19</v>
      </c>
      <c r="B65" s="43" t="s">
        <v>130</v>
      </c>
      <c r="C65" s="81" t="s">
        <v>108</v>
      </c>
      <c r="D65" s="66"/>
      <c r="E65" s="45"/>
      <c r="F65" s="30"/>
    </row>
    <row r="66" spans="1:6" ht="15" customHeight="1">
      <c r="A66" s="20"/>
      <c r="B66" s="64"/>
      <c r="C66" s="56" t="s">
        <v>155</v>
      </c>
      <c r="D66" s="57" t="s">
        <v>105</v>
      </c>
      <c r="E66" s="50" t="s">
        <v>177</v>
      </c>
      <c r="F66" s="23">
        <f>79.8</f>
        <v>79.8</v>
      </c>
    </row>
    <row r="67" spans="1:6" ht="15" customHeight="1">
      <c r="A67" s="24"/>
      <c r="B67" s="65"/>
      <c r="C67" s="58" t="s">
        <v>153</v>
      </c>
      <c r="D67" s="59" t="s">
        <v>105</v>
      </c>
      <c r="E67" s="53"/>
      <c r="F67" s="25">
        <f>SUM(F66:F66)</f>
        <v>79.8</v>
      </c>
    </row>
    <row r="68" spans="1:6" ht="39.75" customHeight="1">
      <c r="A68" s="29">
        <f>MAX($A$1:A67)+1</f>
        <v>20</v>
      </c>
      <c r="B68" s="43" t="s">
        <v>128</v>
      </c>
      <c r="C68" s="81" t="s">
        <v>109</v>
      </c>
      <c r="D68" s="66"/>
      <c r="E68" s="45"/>
      <c r="F68" s="26"/>
    </row>
    <row r="69" spans="1:6" ht="15" customHeight="1">
      <c r="A69" s="86"/>
      <c r="B69" s="64"/>
      <c r="C69" s="56" t="s">
        <v>155</v>
      </c>
      <c r="D69" s="57" t="s">
        <v>105</v>
      </c>
      <c r="E69" s="50" t="s">
        <v>178</v>
      </c>
      <c r="F69" s="23">
        <f>8.1</f>
        <v>8.1</v>
      </c>
    </row>
    <row r="70" spans="1:6" ht="15" customHeight="1">
      <c r="A70" s="24"/>
      <c r="B70" s="65"/>
      <c r="C70" s="58" t="s">
        <v>153</v>
      </c>
      <c r="D70" s="59" t="s">
        <v>105</v>
      </c>
      <c r="E70" s="53"/>
      <c r="F70" s="25">
        <f>SUM(F69:F69)</f>
        <v>8.1</v>
      </c>
    </row>
    <row r="71" spans="1:6" ht="39.75" customHeight="1">
      <c r="A71" s="29">
        <f>MAX($A$1:A70)+1</f>
        <v>21</v>
      </c>
      <c r="B71" s="43" t="s">
        <v>129</v>
      </c>
      <c r="C71" s="81" t="s">
        <v>110</v>
      </c>
      <c r="D71" s="66"/>
      <c r="E71" s="45"/>
      <c r="F71" s="26"/>
    </row>
    <row r="72" spans="1:6" ht="15" customHeight="1">
      <c r="A72" s="86"/>
      <c r="B72" s="64"/>
      <c r="C72" s="56" t="s">
        <v>155</v>
      </c>
      <c r="D72" s="57" t="s">
        <v>105</v>
      </c>
      <c r="E72" s="50" t="s">
        <v>179</v>
      </c>
      <c r="F72" s="23">
        <f>9.6</f>
        <v>9.6</v>
      </c>
    </row>
    <row r="73" spans="1:6" ht="15" customHeight="1">
      <c r="A73" s="24"/>
      <c r="B73" s="65"/>
      <c r="C73" s="58" t="s">
        <v>153</v>
      </c>
      <c r="D73" s="59" t="s">
        <v>105</v>
      </c>
      <c r="E73" s="53"/>
      <c r="F73" s="25">
        <f>SUM(F72:F72)</f>
        <v>9.6</v>
      </c>
    </row>
    <row r="74" spans="1:6" ht="30" customHeight="1">
      <c r="A74" s="29">
        <f>MAX($A$1:A73)+1</f>
        <v>22</v>
      </c>
      <c r="B74" s="43" t="s">
        <v>132</v>
      </c>
      <c r="C74" s="81" t="s">
        <v>111</v>
      </c>
      <c r="D74" s="66"/>
      <c r="E74" s="45"/>
      <c r="F74" s="26"/>
    </row>
    <row r="75" spans="1:6" ht="15" customHeight="1">
      <c r="A75" s="86"/>
      <c r="B75" s="64"/>
      <c r="C75" s="56" t="s">
        <v>155</v>
      </c>
      <c r="D75" s="57" t="s">
        <v>105</v>
      </c>
      <c r="E75" s="50" t="s">
        <v>180</v>
      </c>
      <c r="F75" s="23">
        <f>9</f>
        <v>9</v>
      </c>
    </row>
    <row r="76" spans="1:6" ht="15" customHeight="1">
      <c r="A76" s="24"/>
      <c r="B76" s="65"/>
      <c r="C76" s="58" t="s">
        <v>153</v>
      </c>
      <c r="D76" s="59" t="s">
        <v>105</v>
      </c>
      <c r="E76" s="53"/>
      <c r="F76" s="25">
        <f>SUM(F75:F75)</f>
        <v>9</v>
      </c>
    </row>
    <row r="77" spans="1:6" ht="30" customHeight="1">
      <c r="A77" s="29">
        <f>MAX($A$1:A76)+1</f>
        <v>23</v>
      </c>
      <c r="B77" s="43" t="s">
        <v>132</v>
      </c>
      <c r="C77" s="81" t="s">
        <v>112</v>
      </c>
      <c r="D77" s="66"/>
      <c r="E77" s="45"/>
      <c r="F77" s="26"/>
    </row>
    <row r="78" spans="1:6" ht="15" customHeight="1">
      <c r="A78" s="86"/>
      <c r="B78" s="64"/>
      <c r="C78" s="56" t="s">
        <v>155</v>
      </c>
      <c r="D78" s="57" t="s">
        <v>2</v>
      </c>
      <c r="E78" s="50" t="s">
        <v>181</v>
      </c>
      <c r="F78" s="84">
        <f>1</f>
        <v>1</v>
      </c>
    </row>
    <row r="79" spans="1:6" ht="15" customHeight="1">
      <c r="A79" s="24"/>
      <c r="B79" s="65"/>
      <c r="C79" s="58" t="s">
        <v>153</v>
      </c>
      <c r="D79" s="59" t="s">
        <v>2</v>
      </c>
      <c r="E79" s="53"/>
      <c r="F79" s="85">
        <f>SUM(F78:F78)</f>
        <v>1</v>
      </c>
    </row>
    <row r="80" spans="1:6" ht="39.75" customHeight="1">
      <c r="A80" s="29">
        <f>MAX($A$1:A79)+1</f>
        <v>24</v>
      </c>
      <c r="B80" s="87" t="s">
        <v>34</v>
      </c>
      <c r="C80" s="81" t="s">
        <v>118</v>
      </c>
      <c r="D80" s="66"/>
      <c r="E80" s="79"/>
      <c r="F80" s="26"/>
    </row>
    <row r="81" spans="1:6" ht="15" customHeight="1">
      <c r="A81" s="86"/>
      <c r="B81" s="64"/>
      <c r="C81" s="56" t="s">
        <v>155</v>
      </c>
      <c r="D81" s="57" t="s">
        <v>121</v>
      </c>
      <c r="E81" s="50" t="s">
        <v>182</v>
      </c>
      <c r="F81" s="23">
        <f>1369.6</f>
        <v>1369.6</v>
      </c>
    </row>
    <row r="82" spans="1:6" ht="15" customHeight="1">
      <c r="A82" s="24"/>
      <c r="B82" s="65"/>
      <c r="C82" s="58" t="s">
        <v>153</v>
      </c>
      <c r="D82" s="59" t="s">
        <v>121</v>
      </c>
      <c r="E82" s="53"/>
      <c r="F82" s="25">
        <f>SUM(F81:F81)</f>
        <v>1369.6</v>
      </c>
    </row>
    <row r="83" spans="1:6" ht="39.75" customHeight="1">
      <c r="A83" s="29">
        <f>MAX($A$1:A82)+1</f>
        <v>25</v>
      </c>
      <c r="B83" s="87" t="s">
        <v>45</v>
      </c>
      <c r="C83" s="88" t="s">
        <v>172</v>
      </c>
      <c r="D83" s="66"/>
      <c r="E83" s="80"/>
      <c r="F83" s="26"/>
    </row>
    <row r="84" spans="1:6" ht="15" customHeight="1">
      <c r="A84" s="86"/>
      <c r="B84" s="64"/>
      <c r="C84" s="56" t="s">
        <v>155</v>
      </c>
      <c r="D84" s="57" t="s">
        <v>123</v>
      </c>
      <c r="E84" s="50" t="s">
        <v>183</v>
      </c>
      <c r="F84" s="23">
        <f>618</f>
        <v>618</v>
      </c>
    </row>
    <row r="85" spans="1:6" ht="15" customHeight="1">
      <c r="A85" s="24"/>
      <c r="B85" s="65"/>
      <c r="C85" s="58" t="s">
        <v>153</v>
      </c>
      <c r="D85" s="59" t="s">
        <v>123</v>
      </c>
      <c r="E85" s="53"/>
      <c r="F85" s="25">
        <f>SUM(F84:F84)</f>
        <v>618</v>
      </c>
    </row>
    <row r="86" spans="1:6" ht="39.75" customHeight="1">
      <c r="A86" s="29">
        <f>MAX($A$1:A85)+1</f>
        <v>26</v>
      </c>
      <c r="B86" s="43" t="s">
        <v>77</v>
      </c>
      <c r="C86" s="82" t="s">
        <v>119</v>
      </c>
      <c r="D86" s="66"/>
      <c r="E86" s="45"/>
      <c r="F86" s="26"/>
    </row>
    <row r="87" spans="1:6" ht="15" customHeight="1">
      <c r="A87" s="86"/>
      <c r="B87" s="64"/>
      <c r="C87" s="56" t="s">
        <v>155</v>
      </c>
      <c r="D87" s="57" t="s">
        <v>121</v>
      </c>
      <c r="E87" s="50" t="s">
        <v>184</v>
      </c>
      <c r="F87" s="23">
        <f>85</f>
        <v>85</v>
      </c>
    </row>
    <row r="88" spans="1:6" ht="15" customHeight="1">
      <c r="A88" s="24"/>
      <c r="B88" s="65"/>
      <c r="C88" s="58" t="s">
        <v>153</v>
      </c>
      <c r="D88" s="59" t="s">
        <v>121</v>
      </c>
      <c r="E88" s="53"/>
      <c r="F88" s="25">
        <f>SUM(F87:F87)</f>
        <v>85</v>
      </c>
    </row>
    <row r="89" spans="1:6" ht="39.75" customHeight="1">
      <c r="A89" s="29">
        <f>MAX($A$1:A88)+1</f>
        <v>27</v>
      </c>
      <c r="B89" s="43" t="s">
        <v>77</v>
      </c>
      <c r="C89" s="82" t="s">
        <v>124</v>
      </c>
      <c r="D89" s="66"/>
      <c r="E89" s="45"/>
      <c r="F89" s="26"/>
    </row>
    <row r="90" spans="1:6" ht="15" customHeight="1">
      <c r="A90" s="86"/>
      <c r="B90" s="64"/>
      <c r="C90" s="56" t="s">
        <v>155</v>
      </c>
      <c r="D90" s="57" t="s">
        <v>121</v>
      </c>
      <c r="E90" s="50" t="s">
        <v>185</v>
      </c>
      <c r="F90" s="23">
        <f>142.3</f>
        <v>142.3</v>
      </c>
    </row>
    <row r="91" spans="1:6" ht="15" customHeight="1">
      <c r="A91" s="24"/>
      <c r="B91" s="65"/>
      <c r="C91" s="58" t="s">
        <v>153</v>
      </c>
      <c r="D91" s="59" t="s">
        <v>121</v>
      </c>
      <c r="E91" s="53"/>
      <c r="F91" s="25">
        <f>SUM(F90:F90)</f>
        <v>142.3</v>
      </c>
    </row>
    <row r="92" spans="1:6" ht="39.75" customHeight="1">
      <c r="A92" s="29">
        <f>MAX($A$1:A91)+1</f>
        <v>28</v>
      </c>
      <c r="B92" s="43" t="s">
        <v>77</v>
      </c>
      <c r="C92" s="82" t="s">
        <v>125</v>
      </c>
      <c r="D92" s="66"/>
      <c r="E92" s="45"/>
      <c r="F92" s="26"/>
    </row>
    <row r="93" spans="1:6" ht="15" customHeight="1">
      <c r="A93" s="86"/>
      <c r="B93" s="64"/>
      <c r="C93" s="56" t="s">
        <v>155</v>
      </c>
      <c r="D93" s="57" t="s">
        <v>121</v>
      </c>
      <c r="E93" s="50" t="s">
        <v>186</v>
      </c>
      <c r="F93" s="23">
        <f>77.3</f>
        <v>77.3</v>
      </c>
    </row>
    <row r="94" spans="1:6" ht="15" customHeight="1">
      <c r="A94" s="24"/>
      <c r="B94" s="65"/>
      <c r="C94" s="58" t="s">
        <v>153</v>
      </c>
      <c r="D94" s="59" t="s">
        <v>121</v>
      </c>
      <c r="E94" s="53"/>
      <c r="F94" s="25">
        <f>SUM(F93:F93)</f>
        <v>77.3</v>
      </c>
    </row>
    <row r="95" spans="1:6" ht="39.75" customHeight="1">
      <c r="A95" s="29">
        <f>MAX($A$1:A94)+1</f>
        <v>29</v>
      </c>
      <c r="B95" s="43" t="s">
        <v>77</v>
      </c>
      <c r="C95" s="81" t="s">
        <v>120</v>
      </c>
      <c r="D95" s="66"/>
      <c r="E95" s="89"/>
      <c r="F95" s="26"/>
    </row>
    <row r="96" spans="1:6" ht="15" customHeight="1">
      <c r="A96" s="86"/>
      <c r="B96" s="64"/>
      <c r="C96" s="56" t="s">
        <v>155</v>
      </c>
      <c r="D96" s="57" t="s">
        <v>121</v>
      </c>
      <c r="E96" s="50" t="s">
        <v>187</v>
      </c>
      <c r="F96" s="23">
        <f>117.42</f>
        <v>117.42</v>
      </c>
    </row>
    <row r="97" spans="1:6" ht="15" customHeight="1">
      <c r="A97" s="24"/>
      <c r="B97" s="65"/>
      <c r="C97" s="58" t="s">
        <v>153</v>
      </c>
      <c r="D97" s="59" t="s">
        <v>121</v>
      </c>
      <c r="E97" s="53"/>
      <c r="F97" s="25">
        <f>SUM(F96:F96)</f>
        <v>117.42</v>
      </c>
    </row>
    <row r="98" spans="1:6" ht="39.75" customHeight="1">
      <c r="A98" s="29">
        <f>MAX($A$1:A97)+1</f>
        <v>30</v>
      </c>
      <c r="B98" s="43" t="s">
        <v>77</v>
      </c>
      <c r="C98" s="81" t="s">
        <v>133</v>
      </c>
      <c r="D98" s="66"/>
      <c r="E98" s="45"/>
      <c r="F98" s="26"/>
    </row>
    <row r="99" spans="1:6" ht="15" customHeight="1">
      <c r="A99" s="86"/>
      <c r="B99" s="64"/>
      <c r="C99" s="56" t="s">
        <v>155</v>
      </c>
      <c r="D99" s="57" t="s">
        <v>121</v>
      </c>
      <c r="E99" s="50" t="s">
        <v>188</v>
      </c>
      <c r="F99" s="23">
        <f>465.1</f>
        <v>465.1</v>
      </c>
    </row>
    <row r="100" spans="1:6" ht="15" customHeight="1">
      <c r="A100" s="24"/>
      <c r="B100" s="65"/>
      <c r="C100" s="58" t="s">
        <v>153</v>
      </c>
      <c r="D100" s="59" t="s">
        <v>121</v>
      </c>
      <c r="E100" s="53"/>
      <c r="F100" s="25">
        <f>SUM(F99:F99)</f>
        <v>465.1</v>
      </c>
    </row>
    <row r="101" spans="1:6" ht="39.75" customHeight="1">
      <c r="A101" s="29">
        <f>MAX($A$1:A100)+1</f>
        <v>31</v>
      </c>
      <c r="B101" s="43" t="s">
        <v>71</v>
      </c>
      <c r="C101" s="82" t="s">
        <v>117</v>
      </c>
      <c r="D101" s="66"/>
      <c r="E101" s="80"/>
      <c r="F101" s="26"/>
    </row>
    <row r="102" spans="1:6" ht="15" customHeight="1">
      <c r="A102" s="86"/>
      <c r="B102" s="64"/>
      <c r="C102" s="56" t="s">
        <v>155</v>
      </c>
      <c r="D102" s="57" t="s">
        <v>121</v>
      </c>
      <c r="E102" s="50" t="s">
        <v>189</v>
      </c>
      <c r="F102" s="23">
        <f>740</f>
        <v>740</v>
      </c>
    </row>
    <row r="103" spans="1:6" ht="15" customHeight="1">
      <c r="A103" s="24"/>
      <c r="B103" s="65"/>
      <c r="C103" s="58" t="s">
        <v>153</v>
      </c>
      <c r="D103" s="59" t="s">
        <v>121</v>
      </c>
      <c r="E103" s="53"/>
      <c r="F103" s="25">
        <f>SUM(F102:F102)</f>
        <v>740</v>
      </c>
    </row>
    <row r="104" spans="1:6" ht="39.75" customHeight="1">
      <c r="A104" s="29">
        <f>MAX($A$1:A103)+1</f>
        <v>32</v>
      </c>
      <c r="B104" s="43" t="s">
        <v>134</v>
      </c>
      <c r="C104" s="81" t="s">
        <v>113</v>
      </c>
      <c r="D104" s="66"/>
      <c r="E104" s="79"/>
      <c r="F104" s="26"/>
    </row>
    <row r="105" spans="1:6" ht="15" customHeight="1">
      <c r="A105" s="86"/>
      <c r="B105" s="64"/>
      <c r="C105" s="56" t="s">
        <v>155</v>
      </c>
      <c r="D105" s="57" t="s">
        <v>105</v>
      </c>
      <c r="E105" s="50" t="s">
        <v>190</v>
      </c>
      <c r="F105" s="23">
        <f>192.3</f>
        <v>192.3</v>
      </c>
    </row>
    <row r="106" spans="1:6" ht="15" customHeight="1">
      <c r="A106" s="24"/>
      <c r="B106" s="65"/>
      <c r="C106" s="58" t="s">
        <v>153</v>
      </c>
      <c r="D106" s="59" t="s">
        <v>105</v>
      </c>
      <c r="E106" s="53"/>
      <c r="F106" s="25">
        <f>SUM(F105:F105)</f>
        <v>192.3</v>
      </c>
    </row>
    <row r="107" spans="1:6" ht="39.75" customHeight="1">
      <c r="A107" s="29">
        <f>MAX($A$1:A106)+1</f>
        <v>33</v>
      </c>
      <c r="B107" s="43" t="s">
        <v>134</v>
      </c>
      <c r="C107" s="81" t="s">
        <v>114</v>
      </c>
      <c r="D107" s="66"/>
      <c r="E107" s="79"/>
      <c r="F107" s="26"/>
    </row>
    <row r="108" spans="1:6" ht="15" customHeight="1">
      <c r="A108" s="86"/>
      <c r="B108" s="64"/>
      <c r="C108" s="56" t="s">
        <v>155</v>
      </c>
      <c r="D108" s="57" t="s">
        <v>105</v>
      </c>
      <c r="E108" s="50" t="s">
        <v>191</v>
      </c>
      <c r="F108" s="23">
        <f>28</f>
        <v>28</v>
      </c>
    </row>
    <row r="109" spans="1:6" ht="15" customHeight="1">
      <c r="A109" s="24"/>
      <c r="B109" s="65"/>
      <c r="C109" s="58" t="s">
        <v>153</v>
      </c>
      <c r="D109" s="59" t="s">
        <v>105</v>
      </c>
      <c r="E109" s="53"/>
      <c r="F109" s="25">
        <f>SUM(F108:F108)</f>
        <v>28</v>
      </c>
    </row>
    <row r="110" spans="1:6" ht="39.75" customHeight="1">
      <c r="A110" s="29">
        <f>MAX($A$1:A109)+1</f>
        <v>34</v>
      </c>
      <c r="B110" s="43" t="s">
        <v>136</v>
      </c>
      <c r="C110" s="81" t="s">
        <v>57</v>
      </c>
      <c r="D110" s="66"/>
      <c r="E110" s="45"/>
      <c r="F110" s="26"/>
    </row>
    <row r="111" spans="1:6" ht="15" customHeight="1">
      <c r="A111" s="86"/>
      <c r="B111" s="64"/>
      <c r="C111" s="56" t="s">
        <v>155</v>
      </c>
      <c r="D111" s="57" t="s">
        <v>121</v>
      </c>
      <c r="E111" s="50" t="s">
        <v>192</v>
      </c>
      <c r="F111" s="23">
        <f>12.69</f>
        <v>12.69</v>
      </c>
    </row>
    <row r="112" spans="1:6" ht="15" customHeight="1">
      <c r="A112" s="24"/>
      <c r="B112" s="65"/>
      <c r="C112" s="58" t="s">
        <v>153</v>
      </c>
      <c r="D112" s="59" t="s">
        <v>121</v>
      </c>
      <c r="E112" s="53"/>
      <c r="F112" s="25">
        <f>SUM(F111:F111)</f>
        <v>12.69</v>
      </c>
    </row>
    <row r="113" spans="1:6" ht="39.75" customHeight="1">
      <c r="A113" s="29">
        <f>MAX($A$1:A112)+1</f>
        <v>35</v>
      </c>
      <c r="B113" s="43" t="s">
        <v>135</v>
      </c>
      <c r="C113" s="81" t="s">
        <v>51</v>
      </c>
      <c r="D113" s="66"/>
      <c r="E113" s="45"/>
      <c r="F113" s="26"/>
    </row>
    <row r="114" spans="1:6" ht="15" customHeight="1">
      <c r="A114" s="86"/>
      <c r="B114" s="64"/>
      <c r="C114" s="56" t="s">
        <v>155</v>
      </c>
      <c r="D114" s="57" t="s">
        <v>105</v>
      </c>
      <c r="E114" s="50" t="s">
        <v>193</v>
      </c>
      <c r="F114" s="23">
        <f>31</f>
        <v>31</v>
      </c>
    </row>
    <row r="115" spans="1:6" ht="15" customHeight="1">
      <c r="A115" s="24"/>
      <c r="B115" s="65"/>
      <c r="C115" s="58" t="s">
        <v>153</v>
      </c>
      <c r="D115" s="59" t="s">
        <v>105</v>
      </c>
      <c r="E115" s="53"/>
      <c r="F115" s="25">
        <f>SUM(F114:F114)</f>
        <v>31</v>
      </c>
    </row>
    <row r="116" spans="1:6" ht="39.75" customHeight="1">
      <c r="A116" s="29">
        <f>MAX($A$1:A115)+1</f>
        <v>36</v>
      </c>
      <c r="B116" s="43" t="s">
        <v>136</v>
      </c>
      <c r="C116" s="81" t="s">
        <v>22</v>
      </c>
      <c r="D116" s="66"/>
      <c r="E116" s="45"/>
      <c r="F116" s="26"/>
    </row>
    <row r="117" spans="1:6" ht="15" customHeight="1">
      <c r="A117" s="86"/>
      <c r="B117" s="64"/>
      <c r="C117" s="56" t="s">
        <v>155</v>
      </c>
      <c r="D117" s="57" t="s">
        <v>121</v>
      </c>
      <c r="E117" s="50" t="s">
        <v>194</v>
      </c>
      <c r="F117" s="23">
        <f>3.5</f>
        <v>3.5</v>
      </c>
    </row>
    <row r="118" spans="1:6" ht="15" customHeight="1">
      <c r="A118" s="24"/>
      <c r="B118" s="65"/>
      <c r="C118" s="58" t="s">
        <v>153</v>
      </c>
      <c r="D118" s="59" t="s">
        <v>121</v>
      </c>
      <c r="E118" s="53"/>
      <c r="F118" s="25">
        <f>SUM(F117:F117)</f>
        <v>3.5</v>
      </c>
    </row>
    <row r="119" spans="1:6" ht="30" customHeight="1">
      <c r="A119" s="29">
        <f>MAX($A$1:A118)+1</f>
        <v>37</v>
      </c>
      <c r="B119" s="43" t="s">
        <v>137</v>
      </c>
      <c r="C119" s="81" t="s">
        <v>116</v>
      </c>
      <c r="D119" s="66"/>
      <c r="E119" s="45"/>
      <c r="F119" s="75"/>
    </row>
    <row r="120" spans="1:6" ht="15" customHeight="1">
      <c r="A120" s="86"/>
      <c r="B120" s="64"/>
      <c r="C120" s="56" t="s">
        <v>155</v>
      </c>
      <c r="D120" s="57" t="s">
        <v>2</v>
      </c>
      <c r="E120" s="50" t="s">
        <v>195</v>
      </c>
      <c r="F120" s="84">
        <f>5</f>
        <v>5</v>
      </c>
    </row>
    <row r="121" spans="1:6" ht="15" customHeight="1">
      <c r="A121" s="24"/>
      <c r="B121" s="65"/>
      <c r="C121" s="58" t="s">
        <v>153</v>
      </c>
      <c r="D121" s="59" t="s">
        <v>2</v>
      </c>
      <c r="E121" s="53"/>
      <c r="F121" s="85">
        <f>SUM(F120:F120)</f>
        <v>5</v>
      </c>
    </row>
    <row r="122" spans="1:6" ht="30" customHeight="1">
      <c r="A122" s="29">
        <f>MAX($A$1:A121)+1</f>
        <v>38</v>
      </c>
      <c r="B122" s="43" t="s">
        <v>132</v>
      </c>
      <c r="C122" s="81" t="s">
        <v>115</v>
      </c>
      <c r="D122" s="66"/>
      <c r="E122" s="45"/>
      <c r="F122" s="26"/>
    </row>
    <row r="123" spans="1:6" ht="15" customHeight="1">
      <c r="A123" s="90"/>
      <c r="B123" s="64"/>
      <c r="C123" s="56" t="s">
        <v>155</v>
      </c>
      <c r="D123" s="57" t="s">
        <v>2</v>
      </c>
      <c r="E123" s="50" t="s">
        <v>181</v>
      </c>
      <c r="F123" s="84">
        <f>1</f>
        <v>1</v>
      </c>
    </row>
    <row r="124" spans="1:6" ht="15" customHeight="1">
      <c r="A124" s="24"/>
      <c r="B124" s="65"/>
      <c r="C124" s="58" t="s">
        <v>153</v>
      </c>
      <c r="D124" s="59" t="s">
        <v>2</v>
      </c>
      <c r="E124" s="53"/>
      <c r="F124" s="85">
        <f>SUM(F123:F123)</f>
        <v>1</v>
      </c>
    </row>
    <row r="125" spans="1:6" ht="69.75" customHeight="1">
      <c r="A125" s="29">
        <f>MAX($A$1:A124)+1</f>
        <v>39</v>
      </c>
      <c r="B125" s="43" t="s">
        <v>132</v>
      </c>
      <c r="C125" s="81" t="s">
        <v>122</v>
      </c>
      <c r="D125" s="66"/>
      <c r="E125" s="45"/>
      <c r="F125" s="26"/>
    </row>
    <row r="126" spans="1:6" ht="15" customHeight="1">
      <c r="A126" s="86"/>
      <c r="B126" s="64"/>
      <c r="C126" s="56" t="s">
        <v>155</v>
      </c>
      <c r="D126" s="57" t="s">
        <v>123</v>
      </c>
      <c r="E126" s="50" t="s">
        <v>196</v>
      </c>
      <c r="F126" s="23">
        <f>17.7</f>
        <v>17.7</v>
      </c>
    </row>
    <row r="127" spans="1:6" ht="15" customHeight="1" thickBot="1">
      <c r="A127" s="24"/>
      <c r="B127" s="65"/>
      <c r="C127" s="58" t="s">
        <v>153</v>
      </c>
      <c r="D127" s="59" t="s">
        <v>123</v>
      </c>
      <c r="E127" s="53"/>
      <c r="F127" s="25">
        <f>SUM(F126:F126)</f>
        <v>17.7</v>
      </c>
    </row>
    <row r="128" spans="1:6" ht="19.5" customHeight="1" thickTop="1">
      <c r="A128" s="99" t="s">
        <v>197</v>
      </c>
      <c r="B128" s="63"/>
      <c r="C128" s="63"/>
      <c r="D128" s="63"/>
      <c r="E128" s="63"/>
      <c r="F128" s="100"/>
    </row>
    <row r="129" spans="1:6" ht="39.75" customHeight="1">
      <c r="A129" s="29">
        <f>MAX($A$1:A128)+1</f>
        <v>40</v>
      </c>
      <c r="B129" s="43" t="s">
        <v>62</v>
      </c>
      <c r="C129" s="81" t="s">
        <v>63</v>
      </c>
      <c r="D129" s="66"/>
      <c r="E129" s="45"/>
      <c r="F129" s="30"/>
    </row>
    <row r="130" spans="1:6" ht="15" customHeight="1">
      <c r="A130" s="86"/>
      <c r="B130" s="64"/>
      <c r="C130" s="56" t="s">
        <v>155</v>
      </c>
      <c r="D130" s="57" t="s">
        <v>2</v>
      </c>
      <c r="E130" s="50" t="s">
        <v>173</v>
      </c>
      <c r="F130" s="84">
        <f>3</f>
        <v>3</v>
      </c>
    </row>
    <row r="131" spans="1:6" ht="15" customHeight="1">
      <c r="A131" s="24"/>
      <c r="B131" s="65"/>
      <c r="C131" s="58" t="s">
        <v>153</v>
      </c>
      <c r="D131" s="59" t="s">
        <v>2</v>
      </c>
      <c r="E131" s="53"/>
      <c r="F131" s="85">
        <f>SUM(F130:F130)</f>
        <v>3</v>
      </c>
    </row>
    <row r="132" spans="1:6" ht="39.75" customHeight="1">
      <c r="A132" s="29">
        <f>MAX($A$1:A131)+1</f>
        <v>41</v>
      </c>
      <c r="B132" s="43" t="s">
        <v>6</v>
      </c>
      <c r="C132" s="81" t="s">
        <v>23</v>
      </c>
      <c r="D132" s="66"/>
      <c r="E132" s="45"/>
      <c r="F132" s="26"/>
    </row>
    <row r="133" spans="1:6" ht="15" customHeight="1">
      <c r="A133" s="86"/>
      <c r="B133" s="64"/>
      <c r="C133" s="56" t="s">
        <v>155</v>
      </c>
      <c r="D133" s="57" t="s">
        <v>2</v>
      </c>
      <c r="E133" s="50" t="s">
        <v>198</v>
      </c>
      <c r="F133" s="84">
        <f>8</f>
        <v>8</v>
      </c>
    </row>
    <row r="134" spans="1:6" ht="15" customHeight="1">
      <c r="A134" s="24"/>
      <c r="B134" s="65"/>
      <c r="C134" s="58" t="s">
        <v>153</v>
      </c>
      <c r="D134" s="59" t="s">
        <v>2</v>
      </c>
      <c r="E134" s="53"/>
      <c r="F134" s="85">
        <f>SUM(F133:F133)</f>
        <v>8</v>
      </c>
    </row>
    <row r="135" spans="1:6" ht="30" customHeight="1">
      <c r="A135" s="29">
        <f>MAX($A$1:A134)+1</f>
        <v>42</v>
      </c>
      <c r="B135" s="43" t="s">
        <v>5</v>
      </c>
      <c r="C135" s="81" t="s">
        <v>24</v>
      </c>
      <c r="D135" s="66"/>
      <c r="E135" s="45"/>
      <c r="F135" s="26"/>
    </row>
    <row r="136" spans="1:6" ht="15" customHeight="1">
      <c r="A136" s="86"/>
      <c r="B136" s="64"/>
      <c r="C136" s="56" t="s">
        <v>155</v>
      </c>
      <c r="D136" s="57" t="s">
        <v>2</v>
      </c>
      <c r="E136" s="50" t="s">
        <v>199</v>
      </c>
      <c r="F136" s="84">
        <f>4</f>
        <v>4</v>
      </c>
    </row>
    <row r="137" spans="1:6" ht="15" customHeight="1">
      <c r="A137" s="24"/>
      <c r="B137" s="65"/>
      <c r="C137" s="58" t="s">
        <v>153</v>
      </c>
      <c r="D137" s="59" t="s">
        <v>2</v>
      </c>
      <c r="E137" s="53"/>
      <c r="F137" s="85">
        <f>SUM(F136:F136)</f>
        <v>4</v>
      </c>
    </row>
    <row r="138" spans="1:6" ht="30" customHeight="1">
      <c r="A138" s="29">
        <f>MAX($A$1:A137)+1</f>
        <v>43</v>
      </c>
      <c r="B138" s="43" t="s">
        <v>33</v>
      </c>
      <c r="C138" s="81" t="s">
        <v>52</v>
      </c>
      <c r="D138" s="66"/>
      <c r="E138" s="45"/>
      <c r="F138" s="26"/>
    </row>
    <row r="139" spans="1:6" ht="15" customHeight="1">
      <c r="A139" s="86"/>
      <c r="B139" s="64"/>
      <c r="C139" s="56" t="s">
        <v>155</v>
      </c>
      <c r="D139" s="57" t="s">
        <v>105</v>
      </c>
      <c r="E139" s="50" t="s">
        <v>200</v>
      </c>
      <c r="F139" s="23">
        <f>61</f>
        <v>61</v>
      </c>
    </row>
    <row r="140" spans="1:6" ht="15" customHeight="1">
      <c r="A140" s="24"/>
      <c r="B140" s="65"/>
      <c r="C140" s="58" t="s">
        <v>153</v>
      </c>
      <c r="D140" s="59" t="s">
        <v>105</v>
      </c>
      <c r="E140" s="53"/>
      <c r="F140" s="25">
        <f>SUM(F139:F139)</f>
        <v>61</v>
      </c>
    </row>
    <row r="141" spans="1:6" ht="39.75" customHeight="1">
      <c r="A141" s="29">
        <f>MAX($A$1:A140)+1</f>
        <v>44</v>
      </c>
      <c r="B141" s="87" t="s">
        <v>34</v>
      </c>
      <c r="C141" s="81" t="s">
        <v>39</v>
      </c>
      <c r="D141" s="66"/>
      <c r="E141" s="45"/>
      <c r="F141" s="26"/>
    </row>
    <row r="142" spans="1:6" ht="15" customHeight="1">
      <c r="A142" s="86"/>
      <c r="B142" s="64"/>
      <c r="C142" s="56" t="s">
        <v>155</v>
      </c>
      <c r="D142" s="57" t="s">
        <v>121</v>
      </c>
      <c r="E142" s="50" t="s">
        <v>201</v>
      </c>
      <c r="F142" s="23">
        <f>228</f>
        <v>228</v>
      </c>
    </row>
    <row r="143" spans="1:6" ht="15" customHeight="1">
      <c r="A143" s="24"/>
      <c r="B143" s="65"/>
      <c r="C143" s="58" t="s">
        <v>153</v>
      </c>
      <c r="D143" s="59" t="s">
        <v>121</v>
      </c>
      <c r="E143" s="53"/>
      <c r="F143" s="25">
        <f>SUM(F142:F142)</f>
        <v>228</v>
      </c>
    </row>
    <row r="144" spans="1:6" ht="39.75" customHeight="1">
      <c r="A144" s="29">
        <f>MAX($A$1:A143)+1</f>
        <v>45</v>
      </c>
      <c r="B144" s="87" t="s">
        <v>35</v>
      </c>
      <c r="C144" s="95" t="s">
        <v>36</v>
      </c>
      <c r="D144" s="66"/>
      <c r="E144" s="45"/>
      <c r="F144" s="26"/>
    </row>
    <row r="145" spans="1:6" ht="15" customHeight="1">
      <c r="A145" s="86"/>
      <c r="B145" s="64"/>
      <c r="C145" s="56" t="s">
        <v>155</v>
      </c>
      <c r="D145" s="57" t="s">
        <v>123</v>
      </c>
      <c r="E145" s="50" t="s">
        <v>202</v>
      </c>
      <c r="F145" s="23">
        <f>530</f>
        <v>530</v>
      </c>
    </row>
    <row r="146" spans="1:6" ht="15" customHeight="1">
      <c r="A146" s="24"/>
      <c r="B146" s="65"/>
      <c r="C146" s="58" t="s">
        <v>153</v>
      </c>
      <c r="D146" s="59" t="s">
        <v>123</v>
      </c>
      <c r="E146" s="53"/>
      <c r="F146" s="25">
        <f>SUM(F145:F145)</f>
        <v>530</v>
      </c>
    </row>
    <row r="147" spans="1:7" s="92" customFormat="1" ht="34.5" customHeight="1">
      <c r="A147" s="29">
        <f>MAX($A$1:A146)+1</f>
        <v>46</v>
      </c>
      <c r="B147" s="43" t="s">
        <v>37</v>
      </c>
      <c r="C147" s="81" t="s">
        <v>40</v>
      </c>
      <c r="D147" s="66"/>
      <c r="E147" s="45"/>
      <c r="F147" s="26"/>
      <c r="G147" s="91"/>
    </row>
    <row r="148" spans="1:6" ht="15" customHeight="1">
      <c r="A148" s="86"/>
      <c r="B148" s="64"/>
      <c r="C148" s="56" t="s">
        <v>155</v>
      </c>
      <c r="D148" s="57" t="s">
        <v>121</v>
      </c>
      <c r="E148" s="50" t="s">
        <v>160</v>
      </c>
      <c r="F148" s="23">
        <f>7</f>
        <v>7</v>
      </c>
    </row>
    <row r="149" spans="1:6" ht="15" customHeight="1">
      <c r="A149" s="24"/>
      <c r="B149" s="65"/>
      <c r="C149" s="58" t="s">
        <v>153</v>
      </c>
      <c r="D149" s="59" t="s">
        <v>121</v>
      </c>
      <c r="E149" s="53"/>
      <c r="F149" s="25">
        <f>SUM(F148:F148)</f>
        <v>7</v>
      </c>
    </row>
    <row r="150" spans="1:6" ht="30" customHeight="1">
      <c r="A150" s="29">
        <f>MAX($A$1:A149)+1</f>
        <v>47</v>
      </c>
      <c r="B150" s="87" t="s">
        <v>21</v>
      </c>
      <c r="C150" s="81" t="s">
        <v>58</v>
      </c>
      <c r="D150" s="66"/>
      <c r="E150" s="45"/>
      <c r="F150" s="26"/>
    </row>
    <row r="151" spans="1:6" ht="15" customHeight="1">
      <c r="A151" s="86"/>
      <c r="B151" s="64"/>
      <c r="C151" s="56" t="s">
        <v>155</v>
      </c>
      <c r="D151" s="57" t="s">
        <v>121</v>
      </c>
      <c r="E151" s="50" t="s">
        <v>203</v>
      </c>
      <c r="F151" s="23">
        <f>175</f>
        <v>175</v>
      </c>
    </row>
    <row r="152" spans="1:6" ht="15" customHeight="1">
      <c r="A152" s="24"/>
      <c r="B152" s="65"/>
      <c r="C152" s="58" t="s">
        <v>153</v>
      </c>
      <c r="D152" s="59" t="s">
        <v>121</v>
      </c>
      <c r="E152" s="53"/>
      <c r="F152" s="25">
        <f>SUM(F151:F151)</f>
        <v>175</v>
      </c>
    </row>
    <row r="153" spans="1:6" ht="39.75" customHeight="1">
      <c r="A153" s="29">
        <f>MAX($A$1:A152)+1</f>
        <v>48</v>
      </c>
      <c r="B153" s="43" t="s">
        <v>38</v>
      </c>
      <c r="C153" s="81" t="s">
        <v>25</v>
      </c>
      <c r="D153" s="66"/>
      <c r="E153" s="45"/>
      <c r="F153" s="26"/>
    </row>
    <row r="154" spans="1:6" ht="15" customHeight="1">
      <c r="A154" s="86"/>
      <c r="B154" s="64"/>
      <c r="C154" s="56" t="s">
        <v>155</v>
      </c>
      <c r="D154" s="57" t="s">
        <v>121</v>
      </c>
      <c r="E154" s="50" t="s">
        <v>204</v>
      </c>
      <c r="F154" s="23">
        <f>225</f>
        <v>225</v>
      </c>
    </row>
    <row r="155" spans="1:6" ht="15" customHeight="1">
      <c r="A155" s="24"/>
      <c r="B155" s="65"/>
      <c r="C155" s="58" t="s">
        <v>153</v>
      </c>
      <c r="D155" s="59" t="s">
        <v>121</v>
      </c>
      <c r="E155" s="53"/>
      <c r="F155" s="25">
        <f>SUM(F154:F154)</f>
        <v>225</v>
      </c>
    </row>
    <row r="156" spans="1:6" ht="13.5" thickBot="1">
      <c r="A156" s="24"/>
      <c r="B156" s="62"/>
      <c r="C156" s="93"/>
      <c r="D156" s="94"/>
      <c r="E156" s="42"/>
      <c r="F156" s="83"/>
    </row>
    <row r="157" spans="1:6" ht="19.5" customHeight="1" thickTop="1">
      <c r="A157" s="99" t="s">
        <v>205</v>
      </c>
      <c r="B157" s="63"/>
      <c r="C157" s="63"/>
      <c r="D157" s="63"/>
      <c r="E157" s="63"/>
      <c r="F157" s="100"/>
    </row>
    <row r="158" spans="1:7" s="92" customFormat="1" ht="39.75" customHeight="1">
      <c r="A158" s="29">
        <f>MAX($A$1:A157)+1</f>
        <v>49</v>
      </c>
      <c r="B158" s="43" t="s">
        <v>78</v>
      </c>
      <c r="C158" s="81" t="s">
        <v>59</v>
      </c>
      <c r="D158" s="66"/>
      <c r="E158" s="45"/>
      <c r="F158" s="26"/>
      <c r="G158" s="91"/>
    </row>
    <row r="159" spans="1:6" ht="15" customHeight="1">
      <c r="A159" s="86"/>
      <c r="B159" s="64"/>
      <c r="C159" s="56" t="s">
        <v>155</v>
      </c>
      <c r="D159" s="57" t="s">
        <v>121</v>
      </c>
      <c r="E159" s="50" t="s">
        <v>206</v>
      </c>
      <c r="F159" s="23">
        <f>342</f>
        <v>342</v>
      </c>
    </row>
    <row r="160" spans="1:6" ht="15" customHeight="1">
      <c r="A160" s="24"/>
      <c r="B160" s="65"/>
      <c r="C160" s="58" t="s">
        <v>153</v>
      </c>
      <c r="D160" s="59" t="s">
        <v>121</v>
      </c>
      <c r="E160" s="53"/>
      <c r="F160" s="25">
        <f>SUM(F159:F159)</f>
        <v>342</v>
      </c>
    </row>
    <row r="161" spans="1:6" ht="39.75" customHeight="1">
      <c r="A161" s="29">
        <f>MAX($A$1:A160)+1</f>
        <v>50</v>
      </c>
      <c r="B161" s="43" t="s">
        <v>86</v>
      </c>
      <c r="C161" s="81" t="s">
        <v>140</v>
      </c>
      <c r="D161" s="66"/>
      <c r="E161" s="45"/>
      <c r="F161" s="26"/>
    </row>
    <row r="162" spans="1:6" ht="15" customHeight="1">
      <c r="A162" s="86"/>
      <c r="B162" s="64"/>
      <c r="C162" s="56" t="s">
        <v>155</v>
      </c>
      <c r="D162" s="57" t="s">
        <v>123</v>
      </c>
      <c r="E162" s="50" t="s">
        <v>207</v>
      </c>
      <c r="F162" s="23">
        <f>2068</f>
        <v>2068</v>
      </c>
    </row>
    <row r="163" spans="1:6" ht="15" customHeight="1">
      <c r="A163" s="24"/>
      <c r="B163" s="65"/>
      <c r="C163" s="58" t="s">
        <v>153</v>
      </c>
      <c r="D163" s="59" t="s">
        <v>123</v>
      </c>
      <c r="E163" s="53"/>
      <c r="F163" s="25">
        <f>SUM(F162:F162)</f>
        <v>2068</v>
      </c>
    </row>
    <row r="164" spans="1:6" ht="39.75" customHeight="1">
      <c r="A164" s="29">
        <f>MAX($A$1:A163)+1</f>
        <v>51</v>
      </c>
      <c r="B164" s="43" t="s">
        <v>80</v>
      </c>
      <c r="C164" s="81" t="s">
        <v>14</v>
      </c>
      <c r="D164" s="66"/>
      <c r="E164" s="45"/>
      <c r="F164" s="26"/>
    </row>
    <row r="165" spans="1:6" ht="15" customHeight="1">
      <c r="A165" s="86"/>
      <c r="B165" s="64"/>
      <c r="C165" s="56" t="s">
        <v>155</v>
      </c>
      <c r="D165" s="57" t="s">
        <v>123</v>
      </c>
      <c r="E165" s="50" t="s">
        <v>207</v>
      </c>
      <c r="F165" s="23">
        <f>2068</f>
        <v>2068</v>
      </c>
    </row>
    <row r="166" spans="1:6" ht="15" customHeight="1">
      <c r="A166" s="24"/>
      <c r="B166" s="65"/>
      <c r="C166" s="58" t="s">
        <v>153</v>
      </c>
      <c r="D166" s="59" t="s">
        <v>123</v>
      </c>
      <c r="E166" s="53"/>
      <c r="F166" s="25">
        <f>SUM(F165:F165)</f>
        <v>2068</v>
      </c>
    </row>
    <row r="167" spans="1:6" ht="30" customHeight="1">
      <c r="A167" s="29">
        <f>MAX($A$1:A166)+1</f>
        <v>52</v>
      </c>
      <c r="B167" s="43" t="s">
        <v>81</v>
      </c>
      <c r="C167" s="81" t="s">
        <v>26</v>
      </c>
      <c r="D167" s="66"/>
      <c r="E167" s="45"/>
      <c r="F167" s="26"/>
    </row>
    <row r="168" spans="1:6" ht="15" customHeight="1">
      <c r="A168" s="86"/>
      <c r="B168" s="64"/>
      <c r="C168" s="56" t="s">
        <v>155</v>
      </c>
      <c r="D168" s="57" t="s">
        <v>123</v>
      </c>
      <c r="E168" s="50" t="s">
        <v>208</v>
      </c>
      <c r="F168" s="23">
        <f>2424</f>
        <v>2424</v>
      </c>
    </row>
    <row r="169" spans="1:6" ht="15" customHeight="1">
      <c r="A169" s="24"/>
      <c r="B169" s="65"/>
      <c r="C169" s="58" t="s">
        <v>153</v>
      </c>
      <c r="D169" s="59" t="s">
        <v>123</v>
      </c>
      <c r="E169" s="53"/>
      <c r="F169" s="25">
        <f>SUM(F168:F168)</f>
        <v>2424</v>
      </c>
    </row>
    <row r="170" spans="1:6" ht="39.75" customHeight="1">
      <c r="A170" s="29">
        <f>MAX($A$1:A169)+1</f>
        <v>53</v>
      </c>
      <c r="B170" s="43" t="s">
        <v>83</v>
      </c>
      <c r="C170" s="81" t="s">
        <v>56</v>
      </c>
      <c r="D170" s="66"/>
      <c r="E170" s="45"/>
      <c r="F170" s="26"/>
    </row>
    <row r="171" spans="1:6" ht="15" customHeight="1">
      <c r="A171" s="86"/>
      <c r="B171" s="64"/>
      <c r="C171" s="56" t="s">
        <v>155</v>
      </c>
      <c r="D171" s="57" t="s">
        <v>123</v>
      </c>
      <c r="E171" s="50" t="s">
        <v>209</v>
      </c>
      <c r="F171" s="23">
        <f>27</f>
        <v>27</v>
      </c>
    </row>
    <row r="172" spans="1:6" ht="15" customHeight="1">
      <c r="A172" s="24"/>
      <c r="B172" s="65"/>
      <c r="C172" s="58" t="s">
        <v>153</v>
      </c>
      <c r="D172" s="59" t="s">
        <v>123</v>
      </c>
      <c r="E172" s="53"/>
      <c r="F172" s="25">
        <f>SUM(F171:F171)</f>
        <v>27</v>
      </c>
    </row>
    <row r="173" spans="1:6" ht="39.75" customHeight="1">
      <c r="A173" s="29">
        <f>MAX($A$1:A172)+1</f>
        <v>54</v>
      </c>
      <c r="B173" s="43" t="s">
        <v>86</v>
      </c>
      <c r="C173" s="81" t="s">
        <v>141</v>
      </c>
      <c r="D173" s="66"/>
      <c r="E173" s="45"/>
      <c r="F173" s="26"/>
    </row>
    <row r="174" spans="1:6" ht="15" customHeight="1">
      <c r="A174" s="86"/>
      <c r="B174" s="64"/>
      <c r="C174" s="56" t="s">
        <v>155</v>
      </c>
      <c r="D174" s="57" t="s">
        <v>123</v>
      </c>
      <c r="E174" s="50" t="s">
        <v>210</v>
      </c>
      <c r="F174" s="23">
        <f>94</f>
        <v>94</v>
      </c>
    </row>
    <row r="175" spans="1:6" ht="15" customHeight="1">
      <c r="A175" s="24"/>
      <c r="B175" s="65"/>
      <c r="C175" s="58" t="s">
        <v>153</v>
      </c>
      <c r="D175" s="59" t="s">
        <v>123</v>
      </c>
      <c r="E175" s="53"/>
      <c r="F175" s="25">
        <f>SUM(F174:F174)</f>
        <v>94</v>
      </c>
    </row>
    <row r="176" spans="1:6" ht="39.75" customHeight="1">
      <c r="A176" s="29">
        <f>MAX($A$1:A175)+1</f>
        <v>55</v>
      </c>
      <c r="B176" s="43" t="s">
        <v>82</v>
      </c>
      <c r="C176" s="81" t="s">
        <v>53</v>
      </c>
      <c r="D176" s="66"/>
      <c r="E176" s="45"/>
      <c r="F176" s="26"/>
    </row>
    <row r="177" spans="1:7" s="92" customFormat="1" ht="15" customHeight="1">
      <c r="A177" s="86"/>
      <c r="B177" s="64"/>
      <c r="C177" s="56" t="s">
        <v>155</v>
      </c>
      <c r="D177" s="57" t="s">
        <v>123</v>
      </c>
      <c r="E177" s="50" t="s">
        <v>211</v>
      </c>
      <c r="F177" s="23">
        <f>48</f>
        <v>48</v>
      </c>
      <c r="G177" s="91"/>
    </row>
    <row r="178" spans="1:7" s="92" customFormat="1" ht="15" customHeight="1">
      <c r="A178" s="24"/>
      <c r="B178" s="65"/>
      <c r="C178" s="58" t="s">
        <v>153</v>
      </c>
      <c r="D178" s="59" t="s">
        <v>123</v>
      </c>
      <c r="E178" s="53"/>
      <c r="F178" s="25">
        <f>SUM(F177:F177)</f>
        <v>48</v>
      </c>
      <c r="G178" s="91"/>
    </row>
    <row r="179" spans="1:6" ht="39.75" customHeight="1">
      <c r="A179" s="29">
        <f>MAX($A$1:A178)+1</f>
        <v>56</v>
      </c>
      <c r="B179" s="43" t="s">
        <v>84</v>
      </c>
      <c r="C179" s="81" t="s">
        <v>54</v>
      </c>
      <c r="D179" s="66"/>
      <c r="E179" s="45"/>
      <c r="F179" s="26"/>
    </row>
    <row r="180" spans="1:7" s="92" customFormat="1" ht="15" customHeight="1">
      <c r="A180" s="86"/>
      <c r="B180" s="64"/>
      <c r="C180" s="56" t="s">
        <v>155</v>
      </c>
      <c r="D180" s="57" t="s">
        <v>123</v>
      </c>
      <c r="E180" s="50" t="s">
        <v>212</v>
      </c>
      <c r="F180" s="23">
        <f>166</f>
        <v>166</v>
      </c>
      <c r="G180" s="91"/>
    </row>
    <row r="181" spans="1:7" s="92" customFormat="1" ht="15" customHeight="1">
      <c r="A181" s="24"/>
      <c r="B181" s="65"/>
      <c r="C181" s="58" t="s">
        <v>153</v>
      </c>
      <c r="D181" s="59" t="s">
        <v>123</v>
      </c>
      <c r="E181" s="53"/>
      <c r="F181" s="25">
        <f>SUM(F180:F180)</f>
        <v>166</v>
      </c>
      <c r="G181" s="91"/>
    </row>
    <row r="182" spans="1:6" ht="39.75" customHeight="1">
      <c r="A182" s="29">
        <f>MAX($A$1:A181)+1</f>
        <v>57</v>
      </c>
      <c r="B182" s="43" t="s">
        <v>85</v>
      </c>
      <c r="C182" s="81" t="s">
        <v>27</v>
      </c>
      <c r="D182" s="66"/>
      <c r="E182" s="45"/>
      <c r="F182" s="26"/>
    </row>
    <row r="183" spans="1:7" s="92" customFormat="1" ht="15" customHeight="1">
      <c r="A183" s="86"/>
      <c r="B183" s="64"/>
      <c r="C183" s="56" t="s">
        <v>155</v>
      </c>
      <c r="D183" s="57" t="s">
        <v>123</v>
      </c>
      <c r="E183" s="50" t="s">
        <v>213</v>
      </c>
      <c r="F183" s="23">
        <f>19</f>
        <v>19</v>
      </c>
      <c r="G183" s="91"/>
    </row>
    <row r="184" spans="1:7" s="92" customFormat="1" ht="15" customHeight="1">
      <c r="A184" s="24"/>
      <c r="B184" s="65"/>
      <c r="C184" s="58" t="s">
        <v>153</v>
      </c>
      <c r="D184" s="59" t="s">
        <v>123</v>
      </c>
      <c r="E184" s="53"/>
      <c r="F184" s="25">
        <f>SUM(F183:F183)</f>
        <v>19</v>
      </c>
      <c r="G184" s="91"/>
    </row>
    <row r="185" spans="1:6" ht="54.75" customHeight="1">
      <c r="A185" s="29">
        <f>MAX($A$1:A184)+1</f>
        <v>58</v>
      </c>
      <c r="B185" s="43" t="s">
        <v>79</v>
      </c>
      <c r="C185" s="81" t="s">
        <v>142</v>
      </c>
      <c r="D185" s="66"/>
      <c r="E185" s="45"/>
      <c r="F185" s="26"/>
    </row>
    <row r="186" spans="1:7" s="92" customFormat="1" ht="15" customHeight="1">
      <c r="A186" s="86"/>
      <c r="B186" s="64"/>
      <c r="C186" s="56" t="s">
        <v>155</v>
      </c>
      <c r="D186" s="57" t="s">
        <v>123</v>
      </c>
      <c r="E186" s="50" t="s">
        <v>214</v>
      </c>
      <c r="F186" s="23">
        <f>106</f>
        <v>106</v>
      </c>
      <c r="G186" s="91"/>
    </row>
    <row r="187" spans="1:7" s="92" customFormat="1" ht="15" customHeight="1">
      <c r="A187" s="24"/>
      <c r="B187" s="65"/>
      <c r="C187" s="58" t="s">
        <v>153</v>
      </c>
      <c r="D187" s="59" t="s">
        <v>123</v>
      </c>
      <c r="E187" s="53"/>
      <c r="F187" s="25">
        <f>SUM(F186:F186)</f>
        <v>106</v>
      </c>
      <c r="G187" s="91"/>
    </row>
    <row r="188" spans="1:6" ht="39.75" customHeight="1">
      <c r="A188" s="29">
        <f>MAX($A$1:A187)+1</f>
        <v>59</v>
      </c>
      <c r="B188" s="43" t="s">
        <v>87</v>
      </c>
      <c r="C188" s="81" t="s">
        <v>55</v>
      </c>
      <c r="D188" s="66"/>
      <c r="E188" s="45"/>
      <c r="F188" s="26"/>
    </row>
    <row r="189" spans="1:7" s="92" customFormat="1" ht="15" customHeight="1">
      <c r="A189" s="86"/>
      <c r="B189" s="64"/>
      <c r="C189" s="56" t="s">
        <v>155</v>
      </c>
      <c r="D189" s="57" t="s">
        <v>123</v>
      </c>
      <c r="E189" s="50" t="s">
        <v>215</v>
      </c>
      <c r="F189" s="23">
        <f>119</f>
        <v>119</v>
      </c>
      <c r="G189" s="91"/>
    </row>
    <row r="190" spans="1:7" s="92" customFormat="1" ht="15" customHeight="1">
      <c r="A190" s="24"/>
      <c r="B190" s="65"/>
      <c r="C190" s="58" t="s">
        <v>153</v>
      </c>
      <c r="D190" s="59" t="s">
        <v>123</v>
      </c>
      <c r="E190" s="53"/>
      <c r="F190" s="25">
        <f>SUM(F189:F189)</f>
        <v>119</v>
      </c>
      <c r="G190" s="91"/>
    </row>
    <row r="191" spans="1:6" ht="30" customHeight="1">
      <c r="A191" s="29">
        <f>MAX($A$1:A190)+1</f>
        <v>60</v>
      </c>
      <c r="B191" s="43" t="s">
        <v>88</v>
      </c>
      <c r="C191" s="81" t="s">
        <v>28</v>
      </c>
      <c r="D191" s="66"/>
      <c r="E191" s="45"/>
      <c r="F191" s="26"/>
    </row>
    <row r="192" spans="1:6" ht="15" customHeight="1">
      <c r="A192" s="86"/>
      <c r="B192" s="64"/>
      <c r="C192" s="56" t="s">
        <v>155</v>
      </c>
      <c r="D192" s="57" t="s">
        <v>105</v>
      </c>
      <c r="E192" s="50" t="s">
        <v>216</v>
      </c>
      <c r="F192" s="23">
        <f>120</f>
        <v>120</v>
      </c>
    </row>
    <row r="193" spans="1:6" ht="15" customHeight="1">
      <c r="A193" s="24"/>
      <c r="B193" s="65"/>
      <c r="C193" s="58" t="s">
        <v>153</v>
      </c>
      <c r="D193" s="59" t="s">
        <v>105</v>
      </c>
      <c r="E193" s="53"/>
      <c r="F193" s="25">
        <f>SUM(F192:F192)</f>
        <v>120</v>
      </c>
    </row>
    <row r="194" spans="1:6" ht="30" customHeight="1">
      <c r="A194" s="29">
        <f>MAX($A$1:A193)+1</f>
        <v>61</v>
      </c>
      <c r="B194" s="43" t="s">
        <v>89</v>
      </c>
      <c r="C194" s="81" t="s">
        <v>29</v>
      </c>
      <c r="D194" s="66"/>
      <c r="E194" s="45"/>
      <c r="F194" s="26"/>
    </row>
    <row r="195" spans="1:7" s="92" customFormat="1" ht="15" customHeight="1">
      <c r="A195" s="86"/>
      <c r="B195" s="64"/>
      <c r="C195" s="56" t="s">
        <v>155</v>
      </c>
      <c r="D195" s="57" t="s">
        <v>105</v>
      </c>
      <c r="E195" s="50" t="s">
        <v>217</v>
      </c>
      <c r="F195" s="23">
        <f>121</f>
        <v>121</v>
      </c>
      <c r="G195" s="91"/>
    </row>
    <row r="196" spans="1:7" s="92" customFormat="1" ht="15" customHeight="1">
      <c r="A196" s="24"/>
      <c r="B196" s="65"/>
      <c r="C196" s="58" t="s">
        <v>153</v>
      </c>
      <c r="D196" s="59" t="s">
        <v>105</v>
      </c>
      <c r="E196" s="53"/>
      <c r="F196" s="25">
        <f>SUM(F195:F195)</f>
        <v>121</v>
      </c>
      <c r="G196" s="91"/>
    </row>
    <row r="197" spans="1:6" ht="30" customHeight="1">
      <c r="A197" s="29">
        <f>MAX($A$1:A196)+1</f>
        <v>62</v>
      </c>
      <c r="B197" s="43" t="s">
        <v>90</v>
      </c>
      <c r="C197" s="81" t="s">
        <v>30</v>
      </c>
      <c r="D197" s="96" t="s">
        <v>1</v>
      </c>
      <c r="E197" s="97">
        <v>25</v>
      </c>
      <c r="F197" s="26"/>
    </row>
    <row r="198" spans="1:6" ht="15" customHeight="1">
      <c r="A198" s="86"/>
      <c r="B198" s="64"/>
      <c r="C198" s="56" t="s">
        <v>155</v>
      </c>
      <c r="D198" s="57" t="s">
        <v>105</v>
      </c>
      <c r="E198" s="50" t="s">
        <v>218</v>
      </c>
      <c r="F198" s="23">
        <f>25</f>
        <v>25</v>
      </c>
    </row>
    <row r="199" spans="1:6" ht="15" customHeight="1">
      <c r="A199" s="24"/>
      <c r="B199" s="65"/>
      <c r="C199" s="58" t="s">
        <v>153</v>
      </c>
      <c r="D199" s="59" t="s">
        <v>105</v>
      </c>
      <c r="E199" s="53"/>
      <c r="F199" s="25">
        <f>SUM(F198:F198)</f>
        <v>25</v>
      </c>
    </row>
    <row r="200" spans="1:6" ht="39.75" customHeight="1">
      <c r="A200" s="29">
        <f>MAX($A$1:A199)+1</f>
        <v>63</v>
      </c>
      <c r="B200" s="43" t="s">
        <v>91</v>
      </c>
      <c r="C200" s="82" t="s">
        <v>15</v>
      </c>
      <c r="D200" s="66"/>
      <c r="E200" s="45"/>
      <c r="F200" s="26"/>
    </row>
    <row r="201" spans="1:6" ht="15" customHeight="1">
      <c r="A201" s="86"/>
      <c r="B201" s="64"/>
      <c r="C201" s="56" t="s">
        <v>155</v>
      </c>
      <c r="D201" s="57" t="s">
        <v>105</v>
      </c>
      <c r="E201" s="50" t="s">
        <v>219</v>
      </c>
      <c r="F201" s="23">
        <f>904</f>
        <v>904</v>
      </c>
    </row>
    <row r="202" spans="1:6" ht="15" customHeight="1">
      <c r="A202" s="24"/>
      <c r="B202" s="64"/>
      <c r="C202" s="72" t="s">
        <v>153</v>
      </c>
      <c r="D202" s="73" t="s">
        <v>105</v>
      </c>
      <c r="E202" s="74"/>
      <c r="F202" s="75">
        <f>SUM(F201:F201)</f>
        <v>904</v>
      </c>
    </row>
    <row r="203" spans="1:6" ht="30" customHeight="1">
      <c r="A203" s="29">
        <f>MAX($A$1:A202)+1</f>
        <v>64</v>
      </c>
      <c r="B203" s="43" t="s">
        <v>92</v>
      </c>
      <c r="C203" s="54" t="s">
        <v>64</v>
      </c>
      <c r="D203" s="66"/>
      <c r="E203" s="97"/>
      <c r="F203" s="26"/>
    </row>
    <row r="204" spans="1:6" ht="15" customHeight="1">
      <c r="A204" s="86"/>
      <c r="B204" s="64"/>
      <c r="C204" s="56" t="s">
        <v>155</v>
      </c>
      <c r="D204" s="57" t="s">
        <v>2</v>
      </c>
      <c r="E204" s="50" t="s">
        <v>220</v>
      </c>
      <c r="F204" s="84">
        <f>2</f>
        <v>2</v>
      </c>
    </row>
    <row r="205" spans="1:6" ht="15" customHeight="1">
      <c r="A205" s="24"/>
      <c r="B205" s="65"/>
      <c r="C205" s="58" t="s">
        <v>153</v>
      </c>
      <c r="D205" s="59" t="s">
        <v>2</v>
      </c>
      <c r="E205" s="53"/>
      <c r="F205" s="85">
        <f>SUM(F204:F204)</f>
        <v>2</v>
      </c>
    </row>
    <row r="206" spans="1:6" ht="30" customHeight="1">
      <c r="A206" s="29">
        <f>MAX($A$1:A205)+1</f>
        <v>65</v>
      </c>
      <c r="B206" s="43" t="s">
        <v>92</v>
      </c>
      <c r="C206" s="54" t="s">
        <v>16</v>
      </c>
      <c r="D206" s="66"/>
      <c r="E206" s="97"/>
      <c r="F206" s="26"/>
    </row>
    <row r="207" spans="1:6" ht="15" customHeight="1">
      <c r="A207" s="86"/>
      <c r="B207" s="64"/>
      <c r="C207" s="56" t="s">
        <v>155</v>
      </c>
      <c r="D207" s="57" t="s">
        <v>2</v>
      </c>
      <c r="E207" s="50" t="s">
        <v>221</v>
      </c>
      <c r="F207" s="84">
        <f>20</f>
        <v>20</v>
      </c>
    </row>
    <row r="208" spans="1:6" ht="15" customHeight="1">
      <c r="A208" s="24"/>
      <c r="B208" s="65"/>
      <c r="C208" s="58" t="s">
        <v>153</v>
      </c>
      <c r="D208" s="59" t="s">
        <v>2</v>
      </c>
      <c r="E208" s="53"/>
      <c r="F208" s="85">
        <f>SUM(F207:F207)</f>
        <v>20</v>
      </c>
    </row>
    <row r="209" spans="1:6" ht="30" customHeight="1">
      <c r="A209" s="29">
        <f>MAX($A$1:A208)+1</f>
        <v>66</v>
      </c>
      <c r="B209" s="43" t="s">
        <v>93</v>
      </c>
      <c r="C209" s="54" t="s">
        <v>17</v>
      </c>
      <c r="D209" s="66"/>
      <c r="E209" s="97"/>
      <c r="F209" s="26"/>
    </row>
    <row r="210" spans="1:6" ht="15" customHeight="1">
      <c r="A210" s="86"/>
      <c r="B210" s="64"/>
      <c r="C210" s="56" t="s">
        <v>155</v>
      </c>
      <c r="D210" s="57" t="s">
        <v>2</v>
      </c>
      <c r="E210" s="50" t="s">
        <v>222</v>
      </c>
      <c r="F210" s="84">
        <f>7</f>
        <v>7</v>
      </c>
    </row>
    <row r="211" spans="1:6" ht="15" customHeight="1">
      <c r="A211" s="24"/>
      <c r="B211" s="65"/>
      <c r="C211" s="58" t="s">
        <v>153</v>
      </c>
      <c r="D211" s="59" t="s">
        <v>2</v>
      </c>
      <c r="E211" s="53"/>
      <c r="F211" s="85">
        <f>SUM(F210:F210)</f>
        <v>7</v>
      </c>
    </row>
    <row r="212" spans="1:6" ht="30" customHeight="1">
      <c r="A212" s="29">
        <f>MAX($A$1:A211)+1</f>
        <v>67</v>
      </c>
      <c r="B212" s="43" t="s">
        <v>92</v>
      </c>
      <c r="C212" s="54" t="s">
        <v>18</v>
      </c>
      <c r="D212" s="66"/>
      <c r="E212" s="97"/>
      <c r="F212" s="98"/>
    </row>
    <row r="213" spans="1:6" ht="15" customHeight="1">
      <c r="A213" s="86"/>
      <c r="B213" s="64"/>
      <c r="C213" s="56" t="s">
        <v>155</v>
      </c>
      <c r="D213" s="57" t="s">
        <v>2</v>
      </c>
      <c r="E213" s="50" t="s">
        <v>181</v>
      </c>
      <c r="F213" s="84">
        <f>1</f>
        <v>1</v>
      </c>
    </row>
    <row r="214" spans="1:6" ht="15" customHeight="1">
      <c r="A214" s="24"/>
      <c r="B214" s="65"/>
      <c r="C214" s="58" t="s">
        <v>153</v>
      </c>
      <c r="D214" s="59" t="s">
        <v>2</v>
      </c>
      <c r="E214" s="53"/>
      <c r="F214" s="85">
        <f>SUM(F213:F213)</f>
        <v>1</v>
      </c>
    </row>
    <row r="215" spans="1:6" ht="30" customHeight="1">
      <c r="A215" s="29">
        <f>MAX($A$1:A214)+1</f>
        <v>68</v>
      </c>
      <c r="B215" s="43" t="s">
        <v>94</v>
      </c>
      <c r="C215" s="54" t="s">
        <v>19</v>
      </c>
      <c r="D215" s="66"/>
      <c r="E215" s="97"/>
      <c r="F215" s="98"/>
    </row>
    <row r="216" spans="1:6" ht="15" customHeight="1">
      <c r="A216" s="86"/>
      <c r="B216" s="64"/>
      <c r="C216" s="56" t="s">
        <v>155</v>
      </c>
      <c r="D216" s="57" t="s">
        <v>2</v>
      </c>
      <c r="E216" s="50" t="s">
        <v>221</v>
      </c>
      <c r="F216" s="84">
        <f>20</f>
        <v>20</v>
      </c>
    </row>
    <row r="217" spans="1:6" ht="15" customHeight="1" thickBot="1">
      <c r="A217" s="24"/>
      <c r="B217" s="65"/>
      <c r="C217" s="58" t="s">
        <v>153</v>
      </c>
      <c r="D217" s="59" t="s">
        <v>2</v>
      </c>
      <c r="E217" s="53"/>
      <c r="F217" s="85">
        <f>SUM(F216:F216)</f>
        <v>20</v>
      </c>
    </row>
    <row r="218" spans="1:6" ht="19.5" customHeight="1" thickTop="1">
      <c r="A218" s="99" t="s">
        <v>223</v>
      </c>
      <c r="B218" s="63"/>
      <c r="C218" s="63"/>
      <c r="D218" s="63"/>
      <c r="E218" s="63"/>
      <c r="F218" s="100"/>
    </row>
    <row r="219" spans="1:6" ht="54.75" customHeight="1">
      <c r="A219" s="29">
        <f>MAX($A$1:A218)+1</f>
        <v>69</v>
      </c>
      <c r="B219" s="43" t="s">
        <v>95</v>
      </c>
      <c r="C219" s="81" t="s">
        <v>41</v>
      </c>
      <c r="D219" s="66"/>
      <c r="E219" s="45"/>
      <c r="F219" s="26"/>
    </row>
    <row r="220" spans="1:6" ht="15" customHeight="1">
      <c r="A220" s="86"/>
      <c r="B220" s="64"/>
      <c r="C220" s="56" t="s">
        <v>155</v>
      </c>
      <c r="D220" s="57" t="s">
        <v>123</v>
      </c>
      <c r="E220" s="50" t="s">
        <v>224</v>
      </c>
      <c r="F220" s="23">
        <f>72</f>
        <v>72</v>
      </c>
    </row>
    <row r="221" spans="1:6" ht="15" customHeight="1">
      <c r="A221" s="24"/>
      <c r="B221" s="65"/>
      <c r="C221" s="58" t="s">
        <v>153</v>
      </c>
      <c r="D221" s="59" t="s">
        <v>123</v>
      </c>
      <c r="E221" s="53"/>
      <c r="F221" s="25">
        <f>SUM(F220:F220)</f>
        <v>72</v>
      </c>
    </row>
    <row r="222" spans="1:6" ht="30" customHeight="1">
      <c r="A222" s="29">
        <f>MAX($A$1:A221)+1</f>
        <v>70</v>
      </c>
      <c r="B222" s="43" t="s">
        <v>97</v>
      </c>
      <c r="C222" s="82" t="s">
        <v>31</v>
      </c>
      <c r="D222" s="66"/>
      <c r="E222" s="45"/>
      <c r="F222" s="26"/>
    </row>
    <row r="223" spans="1:6" ht="15" customHeight="1">
      <c r="A223" s="86"/>
      <c r="B223" s="64"/>
      <c r="C223" s="56" t="s">
        <v>155</v>
      </c>
      <c r="D223" s="57" t="s">
        <v>123</v>
      </c>
      <c r="E223" s="50" t="s">
        <v>225</v>
      </c>
      <c r="F223" s="23">
        <f>199</f>
        <v>199</v>
      </c>
    </row>
    <row r="224" spans="1:6" ht="15" customHeight="1">
      <c r="A224" s="24"/>
      <c r="B224" s="65"/>
      <c r="C224" s="58" t="s">
        <v>153</v>
      </c>
      <c r="D224" s="59" t="s">
        <v>123</v>
      </c>
      <c r="E224" s="53"/>
      <c r="F224" s="25">
        <f>SUM(F223:F223)</f>
        <v>199</v>
      </c>
    </row>
    <row r="225" spans="1:6" ht="30" customHeight="1">
      <c r="A225" s="29">
        <f>MAX($A$1:A224)+1</f>
        <v>71</v>
      </c>
      <c r="B225" s="43" t="s">
        <v>96</v>
      </c>
      <c r="C225" s="82" t="s">
        <v>32</v>
      </c>
      <c r="D225" s="66"/>
      <c r="E225" s="45"/>
      <c r="F225" s="26"/>
    </row>
    <row r="226" spans="1:6" ht="15" customHeight="1">
      <c r="A226" s="86"/>
      <c r="B226" s="64"/>
      <c r="C226" s="56" t="s">
        <v>155</v>
      </c>
      <c r="D226" s="57" t="s">
        <v>123</v>
      </c>
      <c r="E226" s="50" t="s">
        <v>225</v>
      </c>
      <c r="F226" s="23">
        <f>199</f>
        <v>199</v>
      </c>
    </row>
    <row r="227" spans="1:6" ht="15" customHeight="1" thickBot="1">
      <c r="A227" s="24"/>
      <c r="B227" s="65"/>
      <c r="C227" s="58" t="s">
        <v>153</v>
      </c>
      <c r="D227" s="59" t="s">
        <v>123</v>
      </c>
      <c r="E227" s="53"/>
      <c r="F227" s="25">
        <f>SUM(F226:F226)</f>
        <v>199</v>
      </c>
    </row>
    <row r="228" spans="1:6" ht="16.5" thickTop="1">
      <c r="A228" s="99" t="s">
        <v>226</v>
      </c>
      <c r="B228" s="63"/>
      <c r="C228" s="63"/>
      <c r="D228" s="63"/>
      <c r="E228" s="63"/>
      <c r="F228" s="100"/>
    </row>
    <row r="229" spans="1:6" ht="34.5" customHeight="1">
      <c r="A229" s="29">
        <f>MAX($A$1:A228)+1</f>
        <v>72</v>
      </c>
      <c r="B229" s="43" t="s">
        <v>98</v>
      </c>
      <c r="C229" s="54" t="s">
        <v>43</v>
      </c>
      <c r="D229" s="66"/>
      <c r="E229" s="45"/>
      <c r="F229" s="26"/>
    </row>
    <row r="230" spans="1:6" ht="15" customHeight="1">
      <c r="A230" s="86"/>
      <c r="B230" s="64"/>
      <c r="C230" s="56" t="s">
        <v>155</v>
      </c>
      <c r="D230" s="57" t="s">
        <v>123</v>
      </c>
      <c r="E230" s="50" t="s">
        <v>230</v>
      </c>
      <c r="F230" s="23">
        <f>34</f>
        <v>34</v>
      </c>
    </row>
    <row r="231" spans="1:6" ht="15" customHeight="1">
      <c r="A231" s="24"/>
      <c r="B231" s="65"/>
      <c r="C231" s="58" t="s">
        <v>153</v>
      </c>
      <c r="D231" s="59" t="s">
        <v>123</v>
      </c>
      <c r="E231" s="53"/>
      <c r="F231" s="25">
        <f>SUM(F230:F230)</f>
        <v>34</v>
      </c>
    </row>
    <row r="232" spans="1:6" ht="49.5" customHeight="1">
      <c r="A232" s="29">
        <f>MAX($A$1:A231)+1</f>
        <v>73</v>
      </c>
      <c r="B232" s="43" t="s">
        <v>99</v>
      </c>
      <c r="C232" s="76" t="s">
        <v>44</v>
      </c>
      <c r="D232" s="66"/>
      <c r="E232" s="45"/>
      <c r="F232" s="26"/>
    </row>
    <row r="233" spans="1:6" ht="15" customHeight="1">
      <c r="A233" s="86"/>
      <c r="B233" s="64"/>
      <c r="C233" s="56" t="s">
        <v>155</v>
      </c>
      <c r="D233" s="57" t="s">
        <v>123</v>
      </c>
      <c r="E233" s="50" t="s">
        <v>229</v>
      </c>
      <c r="F233" s="23">
        <f>32</f>
        <v>32</v>
      </c>
    </row>
    <row r="234" spans="1:6" ht="15" customHeight="1">
      <c r="A234" s="24"/>
      <c r="B234" s="65"/>
      <c r="C234" s="58" t="s">
        <v>153</v>
      </c>
      <c r="D234" s="59" t="s">
        <v>123</v>
      </c>
      <c r="E234" s="53"/>
      <c r="F234" s="25">
        <f>SUM(F233:F233)</f>
        <v>32</v>
      </c>
    </row>
    <row r="235" spans="1:6" ht="30" customHeight="1">
      <c r="A235" s="29">
        <f>MAX($A$1:A234)+1</f>
        <v>74</v>
      </c>
      <c r="B235" s="43" t="s">
        <v>100</v>
      </c>
      <c r="C235" s="54" t="s">
        <v>7</v>
      </c>
      <c r="D235" s="66"/>
      <c r="E235" s="45"/>
      <c r="F235" s="26"/>
    </row>
    <row r="236" spans="1:6" ht="15" customHeight="1">
      <c r="A236" s="86"/>
      <c r="B236" s="64"/>
      <c r="C236" s="56" t="s">
        <v>155</v>
      </c>
      <c r="D236" s="57" t="s">
        <v>2</v>
      </c>
      <c r="E236" s="50" t="s">
        <v>173</v>
      </c>
      <c r="F236" s="84">
        <f>3</f>
        <v>3</v>
      </c>
    </row>
    <row r="237" spans="1:6" ht="15" customHeight="1">
      <c r="A237" s="24"/>
      <c r="B237" s="65"/>
      <c r="C237" s="58" t="s">
        <v>153</v>
      </c>
      <c r="D237" s="59" t="s">
        <v>2</v>
      </c>
      <c r="E237" s="53"/>
      <c r="F237" s="85">
        <f>SUM(F236:F236)</f>
        <v>3</v>
      </c>
    </row>
    <row r="238" spans="1:6" ht="30" customHeight="1">
      <c r="A238" s="29">
        <f>MAX($A$1:A237)+1</f>
        <v>75</v>
      </c>
      <c r="B238" s="43" t="s">
        <v>102</v>
      </c>
      <c r="C238" s="54" t="s">
        <v>8</v>
      </c>
      <c r="D238" s="66"/>
      <c r="E238" s="45"/>
      <c r="F238" s="26"/>
    </row>
    <row r="239" spans="1:6" ht="15" customHeight="1">
      <c r="A239" s="86"/>
      <c r="B239" s="64"/>
      <c r="C239" s="56" t="s">
        <v>155</v>
      </c>
      <c r="D239" s="57" t="s">
        <v>2</v>
      </c>
      <c r="E239" s="50" t="s">
        <v>228</v>
      </c>
      <c r="F239" s="84">
        <f>12</f>
        <v>12</v>
      </c>
    </row>
    <row r="240" spans="1:6" ht="15" customHeight="1">
      <c r="A240" s="24"/>
      <c r="B240" s="65"/>
      <c r="C240" s="58" t="s">
        <v>153</v>
      </c>
      <c r="D240" s="59" t="s">
        <v>2</v>
      </c>
      <c r="E240" s="53"/>
      <c r="F240" s="85">
        <f>SUM(F239:F239)</f>
        <v>12</v>
      </c>
    </row>
    <row r="241" spans="1:6" ht="30" customHeight="1">
      <c r="A241" s="29">
        <f>MAX($A$1:A240)+1</f>
        <v>76</v>
      </c>
      <c r="B241" s="43" t="s">
        <v>101</v>
      </c>
      <c r="C241" s="54" t="s">
        <v>9</v>
      </c>
      <c r="D241" s="66"/>
      <c r="E241" s="45"/>
      <c r="F241" s="26"/>
    </row>
    <row r="242" spans="1:6" ht="15" customHeight="1">
      <c r="A242" s="86"/>
      <c r="B242" s="64"/>
      <c r="C242" s="56" t="s">
        <v>155</v>
      </c>
      <c r="D242" s="57" t="s">
        <v>2</v>
      </c>
      <c r="E242" s="50" t="s">
        <v>227</v>
      </c>
      <c r="F242" s="84">
        <f>13</f>
        <v>13</v>
      </c>
    </row>
    <row r="243" spans="1:6" ht="15" customHeight="1" thickBot="1">
      <c r="A243" s="32"/>
      <c r="B243" s="68"/>
      <c r="C243" s="69" t="s">
        <v>153</v>
      </c>
      <c r="D243" s="70" t="s">
        <v>2</v>
      </c>
      <c r="E243" s="71"/>
      <c r="F243" s="101">
        <f>SUM(F242:F242)</f>
        <v>13</v>
      </c>
    </row>
  </sheetData>
  <sheetProtection/>
  <mergeCells count="10">
    <mergeCell ref="A2:F2"/>
    <mergeCell ref="F5:F6"/>
    <mergeCell ref="A3:F3"/>
    <mergeCell ref="A8:F8"/>
    <mergeCell ref="A30:F30"/>
    <mergeCell ref="A52:F52"/>
    <mergeCell ref="A128:F128"/>
    <mergeCell ref="A157:F157"/>
    <mergeCell ref="A218:F218"/>
    <mergeCell ref="A228:F2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mikolaj.kozlowski</dc:creator>
  <cp:keywords/>
  <dc:description/>
  <cp:lastModifiedBy>Ja</cp:lastModifiedBy>
  <cp:lastPrinted>2017-03-20T08:16:38Z</cp:lastPrinted>
  <dcterms:created xsi:type="dcterms:W3CDTF">2014-07-24T10:35:54Z</dcterms:created>
  <dcterms:modified xsi:type="dcterms:W3CDTF">2017-03-20T08:19:24Z</dcterms:modified>
  <cp:category/>
  <cp:version/>
  <cp:contentType/>
  <cp:contentStatus/>
</cp:coreProperties>
</file>